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"/>
    </mc:Choice>
  </mc:AlternateContent>
  <xr:revisionPtr revIDLastSave="0" documentId="13_ncr:1_{D265AE6F-1581-45F8-A113-1F17B4B8528B}" xr6:coauthVersionLast="46" xr6:coauthVersionMax="46" xr10:uidLastSave="{00000000-0000-0000-0000-000000000000}"/>
  <workbookProtection workbookPassword="CAAF" lockStructure="1"/>
  <bookViews>
    <workbookView xWindow="-120" yWindow="-120" windowWidth="20730" windowHeight="11310" xr2:uid="{00000000-000D-0000-FFFF-FFFF00000000}"/>
  </bookViews>
  <sheets>
    <sheet name="How To Use" sheetId="4" r:id="rId1"/>
    <sheet name="Master" sheetId="5" r:id="rId2"/>
    <sheet name="GA55A" sheetId="2" r:id="rId3"/>
    <sheet name="Other Deduction" sheetId="1" r:id="rId4"/>
    <sheet name="Tax (Old Regime)" sheetId="3" r:id="rId5"/>
    <sheet name="Tax (New Regime)" sheetId="7" r:id="rId6"/>
  </sheets>
  <definedNames>
    <definedName name="_tds1" localSheetId="5">#REF!</definedName>
    <definedName name="_tds1">#REF!</definedName>
    <definedName name="_tds2" localSheetId="5">#REF!</definedName>
    <definedName name="_tds2">#REF!</definedName>
    <definedName name="AIR.Code001" localSheetId="5">#REF!</definedName>
    <definedName name="AIR.Code001">#REF!</definedName>
    <definedName name="AIR.Code002" localSheetId="5">#REF!</definedName>
    <definedName name="AIR.Code002">#REF!</definedName>
    <definedName name="AIR.Code003" localSheetId="5">#REF!</definedName>
    <definedName name="AIR.Code003">#REF!</definedName>
    <definedName name="AIR.Code004" localSheetId="5">#REF!</definedName>
    <definedName name="AIR.Code004">#REF!</definedName>
    <definedName name="AIR.Code005" localSheetId="5">#REF!</definedName>
    <definedName name="AIR.Code005">#REF!</definedName>
    <definedName name="AIR.Code006" localSheetId="5">#REF!</definedName>
    <definedName name="AIR.Code006">#REF!</definedName>
    <definedName name="AIR.Code007" localSheetId="5">#REF!</definedName>
    <definedName name="AIR.Code007">#REF!</definedName>
    <definedName name="AIR.Code008" localSheetId="5">#REF!</definedName>
    <definedName name="AIR.Code008">#REF!</definedName>
    <definedName name="AIR.TaxExmpIntInc" localSheetId="5">#REF!</definedName>
    <definedName name="AIR.TaxExmpIntInc">#REF!</definedName>
    <definedName name="Bank1" localSheetId="5">#REF!</definedName>
    <definedName name="Bank1">#REF!</definedName>
    <definedName name="Bank10" localSheetId="5">#REF!</definedName>
    <definedName name="Bank10">#REF!</definedName>
    <definedName name="Bank11" localSheetId="5">#REF!</definedName>
    <definedName name="Bank11">#REF!</definedName>
    <definedName name="Bank12" localSheetId="5">#REF!</definedName>
    <definedName name="Bank12">#REF!</definedName>
    <definedName name="Bank2" localSheetId="5">#REF!</definedName>
    <definedName name="Bank2">#REF!</definedName>
    <definedName name="Bank3" localSheetId="5">#REF!</definedName>
    <definedName name="Bank3">#REF!</definedName>
    <definedName name="Bank4" localSheetId="5">#REF!</definedName>
    <definedName name="Bank4">#REF!</definedName>
    <definedName name="Bank5" localSheetId="5">#REF!</definedName>
    <definedName name="Bank5">#REF!</definedName>
    <definedName name="Bank6" localSheetId="5">#REF!</definedName>
    <definedName name="Bank6">#REF!</definedName>
    <definedName name="Bank6PCAR" localSheetId="5">#REF!</definedName>
    <definedName name="Bank6PCAR">#REF!</definedName>
    <definedName name="Bank7" localSheetId="5">#REF!</definedName>
    <definedName name="Bank7">#REF!</definedName>
    <definedName name="Bank8" localSheetId="5">#REF!</definedName>
    <definedName name="Bank8">#REF!</definedName>
    <definedName name="Bank9" localSheetId="5">#REF!</definedName>
    <definedName name="Bank9">#REF!</definedName>
    <definedName name="BankAccNo" localSheetId="5">#REF!</definedName>
    <definedName name="BankAccNo">#REF!</definedName>
    <definedName name="BankArrear" localSheetId="5">#REF!</definedName>
    <definedName name="BankArrear">#REF!</definedName>
    <definedName name="BankArrear0" localSheetId="5">#REF!</definedName>
    <definedName name="BankArrear0">#REF!</definedName>
    <definedName name="BankArrear1" localSheetId="5">#REF!</definedName>
    <definedName name="BankArrear1">#REF!</definedName>
    <definedName name="BankArrear2" localSheetId="5">#REF!</definedName>
    <definedName name="BankArrear2">#REF!</definedName>
    <definedName name="BankArrear3" localSheetId="5">#REF!</definedName>
    <definedName name="BankArrear3">#REF!</definedName>
    <definedName name="BankBonus" localSheetId="5">#REF!</definedName>
    <definedName name="BankBonus">#REF!</definedName>
    <definedName name="BankDA10" localSheetId="5">#REF!</definedName>
    <definedName name="BankDA10">#REF!</definedName>
    <definedName name="BankDA5" localSheetId="5">#REF!</definedName>
    <definedName name="BankDA5">#REF!</definedName>
    <definedName name="BankDA6" localSheetId="5">#REF!</definedName>
    <definedName name="BankDA6">#REF!</definedName>
    <definedName name="BankDA8" localSheetId="5">#REF!</definedName>
    <definedName name="BankDA8">#REF!</definedName>
    <definedName name="BankPL" localSheetId="5">#REF!</definedName>
    <definedName name="BankPL">#REF!</definedName>
    <definedName name="cmb_IncD.BankAccountType" localSheetId="5">#REF!</definedName>
    <definedName name="cmb_IncD.BankAccountType">#REF!</definedName>
    <definedName name="cmb_IncD.EcsRequired" localSheetId="5">#REF!</definedName>
    <definedName name="cmb_IncD.EcsRequired">#REF!</definedName>
    <definedName name="cmb_TDSal.StateCode" localSheetId="5">#REF!</definedName>
    <definedName name="cmb_TDSal.StateCode">#REF!</definedName>
    <definedName name="cmb_TDSoth.StateCode" localSheetId="5">#REF!</definedName>
    <definedName name="cmb_TDSoth.StateCode">#REF!</definedName>
    <definedName name="i_general" localSheetId="5">#REF!</definedName>
    <definedName name="i_general">#REF!</definedName>
    <definedName name="i_general2" localSheetId="5">#REF!</definedName>
    <definedName name="i_general2">#REF!</definedName>
    <definedName name="i_tds" localSheetId="5">#REF!</definedName>
    <definedName name="i_tds">#REF!</definedName>
    <definedName name="IncD.AdvanceTax" localSheetId="5">#REF!</definedName>
    <definedName name="IncD.AdvanceTax">#REF!</definedName>
    <definedName name="IncD.AggregateIncome" localSheetId="5">#REF!</definedName>
    <definedName name="IncD.AggregateIncome">#REF!</definedName>
    <definedName name="IncD.BalTaxPayable" localSheetId="5">#REF!</definedName>
    <definedName name="IncD.BalTaxPayable">#REF!</definedName>
    <definedName name="IncD.BankAccountNumber" localSheetId="5">#REF!</definedName>
    <definedName name="IncD.BankAccountNumber">#REF!</definedName>
    <definedName name="IncD.BankAccountType" localSheetId="5">#REF!</definedName>
    <definedName name="IncD.BankAccountType">#REF!</definedName>
    <definedName name="IncD.EcsRequired" localSheetId="5">#REF!</definedName>
    <definedName name="IncD.EcsRequired">#REF!</definedName>
    <definedName name="IncD.EducationCess" localSheetId="5">#REF!</definedName>
    <definedName name="IncD.EducationCess">#REF!</definedName>
    <definedName name="IncD.FamPension" localSheetId="5">#REF!</definedName>
    <definedName name="IncD.FamPension">#REF!</definedName>
    <definedName name="IncD.GrossTaxLiability" localSheetId="5">#REF!</definedName>
    <definedName name="IncD.GrossTaxLiability">#REF!</definedName>
    <definedName name="IncD.GrossTotIncome" localSheetId="5">#REF!</definedName>
    <definedName name="IncD.GrossTotIncome">#REF!</definedName>
    <definedName name="IncD.IncomeFromOS" localSheetId="5">#REF!</definedName>
    <definedName name="IncD.IncomeFromOS">#REF!</definedName>
    <definedName name="IncD.IncomeFromSal" localSheetId="5">#REF!</definedName>
    <definedName name="IncD.IncomeFromSal">#REF!</definedName>
    <definedName name="IncD.IndInterest" localSheetId="5">#REF!</definedName>
    <definedName name="IncD.IndInterest">#REF!</definedName>
    <definedName name="IncD.IntrstPayUs234A" localSheetId="5">#REF!</definedName>
    <definedName name="IncD.IntrstPayUs234A">#REF!</definedName>
    <definedName name="IncD.IntrstPayUs234B" localSheetId="5">#REF!</definedName>
    <definedName name="IncD.IntrstPayUs234B">#REF!</definedName>
    <definedName name="IncD.IntrstPayUs234C" localSheetId="5">#REF!</definedName>
    <definedName name="IncD.IntrstPayUs234C">#REF!</definedName>
    <definedName name="IncD.MICRCode" localSheetId="5">#REF!</definedName>
    <definedName name="IncD.MICRCode">#REF!</definedName>
    <definedName name="IncD.NetAgriculturalIncome" localSheetId="5">#REF!</definedName>
    <definedName name="IncD.NetAgriculturalIncome">#REF!</definedName>
    <definedName name="IncD.NetTaxLiability" localSheetId="5">#REF!</definedName>
    <definedName name="IncD.NetTaxLiability">#REF!</definedName>
    <definedName name="IncD.RebateOnAgriInc" localSheetId="5">#REF!</definedName>
    <definedName name="IncD.RebateOnAgriInc">#REF!</definedName>
    <definedName name="IncD.RefundDue" localSheetId="5">#REF!</definedName>
    <definedName name="IncD.RefundDue">#REF!</definedName>
    <definedName name="IncD.Section80C" localSheetId="5">#REF!</definedName>
    <definedName name="IncD.Section80C">#REF!</definedName>
    <definedName name="IncD.Section80CCC" localSheetId="5">#REF!</definedName>
    <definedName name="IncD.Section80CCC">#REF!</definedName>
    <definedName name="IncD.Section80CCD" localSheetId="5">#REF!</definedName>
    <definedName name="IncD.Section80CCD">#REF!</definedName>
    <definedName name="IncD.Section80D" localSheetId="5">#REF!</definedName>
    <definedName name="IncD.Section80D">#REF!</definedName>
    <definedName name="IncD.Section80DD" localSheetId="5">#REF!</definedName>
    <definedName name="IncD.Section80DD">#REF!</definedName>
    <definedName name="IncD.Section80DDB" localSheetId="5">#REF!</definedName>
    <definedName name="IncD.Section80DDB">#REF!</definedName>
    <definedName name="IncD.Section80E" localSheetId="5">#REF!</definedName>
    <definedName name="IncD.Section80E">#REF!</definedName>
    <definedName name="IncD.Section80G" localSheetId="5">#REF!</definedName>
    <definedName name="IncD.Section80G">#REF!</definedName>
    <definedName name="IncD.Section80GG" localSheetId="5">#REF!</definedName>
    <definedName name="IncD.Section80GG">#REF!</definedName>
    <definedName name="IncD.Section80GGA" localSheetId="5">#REF!</definedName>
    <definedName name="IncD.Section80GGA">#REF!</definedName>
    <definedName name="IncD.Section80GGC" localSheetId="5">#REF!</definedName>
    <definedName name="IncD.Section80GGC">#REF!</definedName>
    <definedName name="IncD.Section80U" localSheetId="5">#REF!</definedName>
    <definedName name="IncD.Section80U">#REF!</definedName>
    <definedName name="IncD.Section89" localSheetId="5">#REF!</definedName>
    <definedName name="IncD.Section89">#REF!</definedName>
    <definedName name="IncD.Section90and91" localSheetId="5">#REF!</definedName>
    <definedName name="IncD.Section90and91">#REF!</definedName>
    <definedName name="IncD.SelfAssessmentTax" localSheetId="5">#REF!</definedName>
    <definedName name="IncD.SelfAssessmentTax">#REF!</definedName>
    <definedName name="IncD.SurchargeOnTaxPayable" localSheetId="5">#REF!</definedName>
    <definedName name="IncD.SurchargeOnTaxPayable">#REF!</definedName>
    <definedName name="IncD.TaxOnAggregateInc" localSheetId="5">#REF!</definedName>
    <definedName name="IncD.TaxOnAggregateInc">#REF!</definedName>
    <definedName name="IncD.TDS" localSheetId="5">#REF!</definedName>
    <definedName name="IncD.TDS">#REF!</definedName>
    <definedName name="IncD.TotalChapVIADeductions" localSheetId="5">#REF!</definedName>
    <definedName name="IncD.TotalChapVIADeductions">#REF!</definedName>
    <definedName name="IncD.TotalIncome" localSheetId="5">#REF!</definedName>
    <definedName name="IncD.TotalIncome">#REF!</definedName>
    <definedName name="IncD.TotalIntrstPay" localSheetId="5">#REF!</definedName>
    <definedName name="IncD.TotalIntrstPay">#REF!</definedName>
    <definedName name="IncD.TotalTaxesPaid" localSheetId="5">#REF!</definedName>
    <definedName name="IncD.TotalTaxesPaid">#REF!</definedName>
    <definedName name="IncD.TotalTaxPayable" localSheetId="5">#REF!</definedName>
    <definedName name="IncD.TotalTaxPayable">#REF!</definedName>
    <definedName name="IncD.TotTaxPlusIntrstPay" localSheetId="5">#REF!</definedName>
    <definedName name="IncD.TotTaxPlusIntrstPay">#REF!</definedName>
    <definedName name="IT.Amt" localSheetId="5">#REF!</definedName>
    <definedName name="IT.Amt">#REF!</definedName>
    <definedName name="IT.FormulaOFS" localSheetId="5">#REF!</definedName>
    <definedName name="IT.FormulaOFS">#REF!</definedName>
    <definedName name="_xlnm.Print_Area" localSheetId="2">GA55A!$C$3:$AD$36</definedName>
    <definedName name="_xlnm.Print_Area" localSheetId="1">Master!$A$1:$D$14</definedName>
    <definedName name="_xlnm.Print_Area" localSheetId="3">'Other Deduction'!$A$1:$F$23</definedName>
    <definedName name="_xlnm.Print_Area" localSheetId="5">'Tax (New Regime)'!$B$1:$Q$59</definedName>
    <definedName name="_xlnm.Print_Area" localSheetId="4">'Tax (Old Regime)'!$B$1:$Q$66</definedName>
    <definedName name="Sex" localSheetId="5">'Other Deduction'!#REF!</definedName>
    <definedName name="Sex">'Other Deduction'!#REF!</definedName>
    <definedName name="sheet1.CityOrTownOrDistrict" localSheetId="5">#REF!</definedName>
    <definedName name="sheet1.CityOrTownOrDistrict">#REF!</definedName>
    <definedName name="sheet1.DOB" localSheetId="5">#REF!</definedName>
    <definedName name="sheet1.DOB">#REF!</definedName>
    <definedName name="sheet1.EmployerCategory1" localSheetId="5">#REF!</definedName>
    <definedName name="sheet1.EmployerCategory1">#REF!</definedName>
    <definedName name="sheet1.FirstName" localSheetId="5">#REF!</definedName>
    <definedName name="sheet1.FirstName">#REF!</definedName>
    <definedName name="sheet1.Gender1" localSheetId="5">#REF!</definedName>
    <definedName name="sheet1.Gender1">#REF!</definedName>
    <definedName name="sheet1.LocalityOrArea" localSheetId="5">#REF!</definedName>
    <definedName name="sheet1.LocalityOrArea">#REF!</definedName>
    <definedName name="sheet1.MiddleName" localSheetId="5">#REF!</definedName>
    <definedName name="sheet1.MiddleName">#REF!</definedName>
    <definedName name="sheet1.newstcode" localSheetId="5">#REF!</definedName>
    <definedName name="sheet1.newstcode">#REF!</definedName>
    <definedName name="sheet1.OrigRetFiledDate" localSheetId="5">#REF!</definedName>
    <definedName name="sheet1.OrigRetFiledDate">#REF!</definedName>
    <definedName name="sheet1.PAN" localSheetId="5">#REF!</definedName>
    <definedName name="sheet1.PAN">#REF!</definedName>
    <definedName name="sheet1.PhoneNo" localSheetId="5">#REF!</definedName>
    <definedName name="sheet1.PhoneNo">#REF!</definedName>
    <definedName name="sheet1.PinCode" localSheetId="5">#REF!</definedName>
    <definedName name="sheet1.PinCode">#REF!</definedName>
    <definedName name="sheet1.ReceiptNo" localSheetId="5">#REF!</definedName>
    <definedName name="sheet1.ReceiptNo">#REF!</definedName>
    <definedName name="sheet1.ResidenceName" localSheetId="5">#REF!</definedName>
    <definedName name="sheet1.ResidenceName">#REF!</definedName>
    <definedName name="sheet1.ResidenceNo" localSheetId="5">#REF!</definedName>
    <definedName name="sheet1.ResidenceNo">#REF!</definedName>
    <definedName name="sheet1.ResidentialStatus" localSheetId="5">#REF!</definedName>
    <definedName name="sheet1.ResidentialStatus">#REF!</definedName>
    <definedName name="sheet1.ResidentialStatus1" localSheetId="5">#REF!</definedName>
    <definedName name="sheet1.ResidentialStatus1">#REF!</definedName>
    <definedName name="sheet1.ReturnFileSec" localSheetId="5">#REF!</definedName>
    <definedName name="sheet1.ReturnFileSec">#REF!</definedName>
    <definedName name="sheet1.ReturnFileSec1" localSheetId="5">#REF!</definedName>
    <definedName name="sheet1.ReturnFileSec1">#REF!</definedName>
    <definedName name="sheet1.ReturnType" localSheetId="5">#REF!</definedName>
    <definedName name="sheet1.ReturnType">#REF!</definedName>
    <definedName name="sheet1.ReturnType1" localSheetId="5">#REF!</definedName>
    <definedName name="sheet1.ReturnType1">#REF!</definedName>
    <definedName name="sheet1.RoadOrStreet" localSheetId="5">#REF!</definedName>
    <definedName name="sheet1.RoadOrStreet">#REF!</definedName>
    <definedName name="sheet1.StateCode" localSheetId="5">#REF!</definedName>
    <definedName name="sheet1.StateCode">#REF!</definedName>
    <definedName name="sheet1.StateCode1" localSheetId="5">#REF!</definedName>
    <definedName name="sheet1.StateCode1">#REF!</definedName>
    <definedName name="sheet1.Status" localSheetId="5">#REF!</definedName>
    <definedName name="sheet1.Status">#REF!</definedName>
    <definedName name="sheet1.Status1" localSheetId="5">#REF!</definedName>
    <definedName name="sheet1.Status1">#REF!</definedName>
    <definedName name="sheet1.STDcode" localSheetId="5">#REF!</definedName>
    <definedName name="sheet1.STDcode">#REF!</definedName>
    <definedName name="sheet1.SurNameOrOrgName" localSheetId="5">#REF!</definedName>
    <definedName name="sheet1.SurNameOrOrgName">#REF!</definedName>
    <definedName name="sheet1.SwVersionNo" localSheetId="5">#REF!</definedName>
    <definedName name="sheet1.SwVersionNo">#REF!</definedName>
    <definedName name="TaxP.Amt" localSheetId="5">#REF!</definedName>
    <definedName name="TaxP.Amt">#REF!</definedName>
    <definedName name="TaxP.BSRCode" localSheetId="5">#REF!</definedName>
    <definedName name="TaxP.BSRCode">#REF!</definedName>
    <definedName name="TaxP.DateDep" localSheetId="5">#REF!</definedName>
    <definedName name="TaxP.DateDep">#REF!</definedName>
    <definedName name="TaxP.NameOfBank" localSheetId="5">#REF!</definedName>
    <definedName name="TaxP.NameOfBank">#REF!</definedName>
    <definedName name="TaxP.NameOfBranch" localSheetId="5">#REF!</definedName>
    <definedName name="TaxP.NameOfBranch">#REF!</definedName>
    <definedName name="TaxP.SrlNoOfChaln" localSheetId="5">#REF!</definedName>
    <definedName name="TaxP.SrlNoOfChaln">#REF!</definedName>
    <definedName name="TDS_Sum" localSheetId="5">#REF!</definedName>
    <definedName name="TDS_Sum">#REF!</definedName>
    <definedName name="TDS1.TotalTDSSal" localSheetId="5">#REF!</definedName>
    <definedName name="TDS1.TotalTDSSal">#REF!</definedName>
    <definedName name="TDS2_sum" localSheetId="5">#REF!</definedName>
    <definedName name="TDS2_sum">#REF!</definedName>
    <definedName name="TDSal.AddrDetail" localSheetId="5">#REF!</definedName>
    <definedName name="TDSal.AddrDetail">#REF!</definedName>
    <definedName name="TDSal.CityOrTownOrDistrict" localSheetId="5">#REF!</definedName>
    <definedName name="TDSal.CityOrTownOrDistrict">#REF!</definedName>
    <definedName name="TDSal.DeductUnderChapVIA" localSheetId="5">#REF!</definedName>
    <definedName name="TDSal.DeductUnderChapVIA">#REF!</definedName>
    <definedName name="TDSal.EmployerOrDeductorOrCollecterName" localSheetId="5">#REF!</definedName>
    <definedName name="TDSal.EmployerOrDeductorOrCollecterName">#REF!</definedName>
    <definedName name="TDSal.IncChrgSal" localSheetId="5">#REF!</definedName>
    <definedName name="TDSal.IncChrgSal">#REF!</definedName>
    <definedName name="TDSal.PinCode" localSheetId="5">#REF!</definedName>
    <definedName name="TDSal.PinCode">#REF!</definedName>
    <definedName name="TDSal.StateCode" localSheetId="5">#REF!</definedName>
    <definedName name="TDSal.StateCode">#REF!</definedName>
    <definedName name="TDSal.TAN" localSheetId="5">#REF!</definedName>
    <definedName name="TDSal.TAN">#REF!</definedName>
    <definedName name="TDSal.TaxPayIncluSurchEdnCes" localSheetId="5">#REF!</definedName>
    <definedName name="TDSal.TaxPayIncluSurchEdnCes">#REF!</definedName>
    <definedName name="TDSal.TaxPayRefund" localSheetId="5">#REF!</definedName>
    <definedName name="TDSal.TaxPayRefund">#REF!</definedName>
    <definedName name="TDSal.TotalTDSSal" localSheetId="5">#REF!</definedName>
    <definedName name="TDSal.TotalTDSSal">#REF!</definedName>
    <definedName name="TDSoth.AddrDetail" localSheetId="5">#REF!</definedName>
    <definedName name="TDSoth.AddrDetail">#REF!</definedName>
    <definedName name="TDSoth.AmtPaid" localSheetId="5">#REF!</definedName>
    <definedName name="TDSoth.AmtPaid">#REF!</definedName>
    <definedName name="TDSoth.CityOrTownOrDistrict" localSheetId="5">#REF!</definedName>
    <definedName name="TDSoth.CityOrTownOrDistrict">#REF!</definedName>
    <definedName name="TDSoth.ClaimOutOfTotTDSOnAmtPaid" localSheetId="5">#REF!</definedName>
    <definedName name="TDSoth.ClaimOutOfTotTDSOnAmtPaid">#REF!</definedName>
    <definedName name="TDSoth.DatePayCred" localSheetId="5">#REF!</definedName>
    <definedName name="TDSoth.DatePayCred">#REF!</definedName>
    <definedName name="TDSoth.EmployerOrDeductorOrCollecterName" localSheetId="5">#REF!</definedName>
    <definedName name="TDSoth.EmployerOrDeductorOrCollecterName">#REF!</definedName>
    <definedName name="TDSoth.PinCode" localSheetId="5">#REF!</definedName>
    <definedName name="TDSoth.PinCode">#REF!</definedName>
    <definedName name="TDSoth.StateCode" localSheetId="5">#REF!</definedName>
    <definedName name="TDSoth.StateCode">#REF!</definedName>
    <definedName name="TDSoth.TAN" localSheetId="5">#REF!</definedName>
    <definedName name="TDSoth.TAN">#REF!</definedName>
    <definedName name="TDSoth.TotTDSOnAmtPaid" localSheetId="5">#REF!</definedName>
    <definedName name="TDSoth.TotTDSOnAmtPaid">#REF!</definedName>
    <definedName name="tp" localSheetId="5">#REF!</definedName>
    <definedName name="tp">#REF!</definedName>
    <definedName name="Ver.AssesseeVerName" localSheetId="5">#REF!</definedName>
    <definedName name="Ver.AssesseeVerName">#REF!</definedName>
    <definedName name="Ver.Date" localSheetId="5">#REF!</definedName>
    <definedName name="Ver.Date">#REF!</definedName>
    <definedName name="Ver.FatherName" localSheetId="5">#REF!</definedName>
    <definedName name="Ver.FatherName">#REF!</definedName>
    <definedName name="Ver.IdentificationNoOfTRP" localSheetId="5">#REF!</definedName>
    <definedName name="Ver.IdentificationNoOfTRP">#REF!</definedName>
    <definedName name="Ver.NameOfTRP" localSheetId="5">#REF!</definedName>
    <definedName name="Ver.NameOfTRP">#REF!</definedName>
    <definedName name="Ver.Place" localSheetId="5">#REF!</definedName>
    <definedName name="Ver.Place">#REF!</definedName>
    <definedName name="Ver.ReImbFrmGov" localSheetId="5">#REF!</definedName>
    <definedName name="Ver.ReImbFrmGov">#REF!</definedName>
    <definedName name="Z_01E6FF9C_BB30_4C32_9D09_6DB93F11503E_.wvu.Cols" localSheetId="2" hidden="1">GA55A!$AF:$XFD</definedName>
    <definedName name="Z_01E6FF9C_BB30_4C32_9D09_6DB93F11503E_.wvu.Cols" localSheetId="3" hidden="1">'Other Deduction'!$G:$XFD</definedName>
    <definedName name="Z_01E6FF9C_BB30_4C32_9D09_6DB93F11503E_.wvu.Cols" localSheetId="5" hidden="1">'Tax (New Regime)'!$S:$XFD</definedName>
    <definedName name="Z_01E6FF9C_BB30_4C32_9D09_6DB93F11503E_.wvu.Cols" localSheetId="4" hidden="1">'Tax (Old Regime)'!$S:$XFD</definedName>
    <definedName name="Z_01E6FF9C_BB30_4C32_9D09_6DB93F11503E_.wvu.PrintArea" localSheetId="2" hidden="1">GA55A!$C$3:$AD$35</definedName>
    <definedName name="Z_01E6FF9C_BB30_4C32_9D09_6DB93F11503E_.wvu.PrintArea" localSheetId="5" hidden="1">'Tax (New Regime)'!$B$1:$Q$61</definedName>
    <definedName name="Z_01E6FF9C_BB30_4C32_9D09_6DB93F11503E_.wvu.PrintArea" localSheetId="4" hidden="1">'Tax (Old Regime)'!$B$1:$Q$70</definedName>
    <definedName name="Z_01E6FF9C_BB30_4C32_9D09_6DB93F11503E_.wvu.Rows" localSheetId="2" hidden="1">GA55A!$948:$1048576,GA55A!$36:$947</definedName>
    <definedName name="Z_01E6FF9C_BB30_4C32_9D09_6DB93F11503E_.wvu.Rows" localSheetId="3" hidden="1">'Other Deduction'!$562:$1048576,'Other Deduction'!$24:$561</definedName>
    <definedName name="Z_01E6FF9C_BB30_4C32_9D09_6DB93F11503E_.wvu.Rows" localSheetId="5" hidden="1">'Tax (New Regime)'!$62:$1048576,'Tax (New Regime)'!#REF!</definedName>
    <definedName name="Z_01E6FF9C_BB30_4C32_9D09_6DB93F11503E_.wvu.Rows" localSheetId="4" hidden="1">'Tax (Old Regime)'!$76:$1048576,'Tax (Old Regime)'!$72:$75</definedName>
    <definedName name="Z_483AFC7C_A53B_4837_A853_31CBC6C9ED1B_.wvu.Cols" localSheetId="2" hidden="1">GA55A!$AF:$XFD</definedName>
    <definedName name="Z_483AFC7C_A53B_4837_A853_31CBC6C9ED1B_.wvu.Cols" localSheetId="3" hidden="1">'Other Deduction'!$G:$XFD</definedName>
    <definedName name="Z_483AFC7C_A53B_4837_A853_31CBC6C9ED1B_.wvu.Cols" localSheetId="5" hidden="1">'Tax (New Regime)'!$S:$XFD</definedName>
    <definedName name="Z_483AFC7C_A53B_4837_A853_31CBC6C9ED1B_.wvu.Cols" localSheetId="4" hidden="1">'Tax (Old Regime)'!$S:$XFD</definedName>
    <definedName name="Z_483AFC7C_A53B_4837_A853_31CBC6C9ED1B_.wvu.PrintArea" localSheetId="2" hidden="1">GA55A!$C$3:$AD$35</definedName>
    <definedName name="Z_483AFC7C_A53B_4837_A853_31CBC6C9ED1B_.wvu.PrintArea" localSheetId="5" hidden="1">'Tax (New Regime)'!$B$1:$Q$61</definedName>
    <definedName name="Z_483AFC7C_A53B_4837_A853_31CBC6C9ED1B_.wvu.PrintArea" localSheetId="4" hidden="1">'Tax (Old Regime)'!$B$1:$Q$70</definedName>
    <definedName name="Z_483AFC7C_A53B_4837_A853_31CBC6C9ED1B_.wvu.Rows" localSheetId="2" hidden="1">GA55A!$948:$1048576,GA55A!$36:$947</definedName>
    <definedName name="Z_483AFC7C_A53B_4837_A853_31CBC6C9ED1B_.wvu.Rows" localSheetId="3" hidden="1">'Other Deduction'!$562:$1048576,'Other Deduction'!$24:$561</definedName>
    <definedName name="Z_483AFC7C_A53B_4837_A853_31CBC6C9ED1B_.wvu.Rows" localSheetId="5" hidden="1">'Tax (New Regime)'!$62:$1048576,'Tax (New Regime)'!#REF!</definedName>
    <definedName name="Z_483AFC7C_A53B_4837_A853_31CBC6C9ED1B_.wvu.Rows" localSheetId="4" hidden="1">'Tax (Old Regime)'!$76:$1048576,'Tax (Old Regime)'!$72:$75</definedName>
  </definedNames>
  <calcPr calcId="18102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I25" i="2" l="1"/>
  <c r="H25" i="2"/>
  <c r="D25" i="2"/>
  <c r="AB29" i="2"/>
  <c r="AB28" i="2"/>
  <c r="AB27" i="2"/>
  <c r="AB26" i="2"/>
  <c r="AB23" i="2"/>
  <c r="AA10" i="2" l="1"/>
  <c r="Z10" i="2"/>
  <c r="P8" i="2"/>
  <c r="N7" i="2"/>
  <c r="Y10" i="2"/>
  <c r="Z11" i="2" l="1"/>
  <c r="Z12" i="2" s="1"/>
  <c r="Z13" i="2" s="1"/>
  <c r="Z14" i="2" s="1"/>
  <c r="Z15" i="2" s="1"/>
  <c r="Z16" i="2" s="1"/>
  <c r="Z17" i="2" s="1"/>
  <c r="Z18" i="2" s="1"/>
  <c r="Z19" i="2" s="1"/>
  <c r="Z20" i="2" s="1"/>
  <c r="Z30" i="2"/>
  <c r="Y11" i="2"/>
  <c r="Y12" i="2" s="1"/>
  <c r="Y13" i="2" s="1"/>
  <c r="Y14" i="2" s="1"/>
  <c r="Y15" i="2" s="1"/>
  <c r="Y16" i="2" s="1"/>
  <c r="Y17" i="2" s="1"/>
  <c r="AA11" i="2"/>
  <c r="AA12" i="2" s="1"/>
  <c r="AA13" i="2" s="1"/>
  <c r="AA14" i="2" s="1"/>
  <c r="AA15" i="2" s="1"/>
  <c r="AA16" i="2" s="1"/>
  <c r="AA17" i="2" s="1"/>
  <c r="AA18" i="2" s="1"/>
  <c r="AA19" i="2" s="1"/>
  <c r="AA20" i="2" s="1"/>
  <c r="AA30" i="2"/>
  <c r="Y18" i="2"/>
  <c r="Y30" i="2" s="1"/>
  <c r="B18" i="5" l="1"/>
  <c r="L6" i="5" l="1"/>
  <c r="L3" i="5"/>
  <c r="L4" i="5"/>
  <c r="L5" i="5"/>
  <c r="J10" i="5"/>
  <c r="F8" i="5"/>
  <c r="D9" i="2" s="1"/>
  <c r="K6" i="2"/>
  <c r="L3" i="7" s="1"/>
  <c r="Q9" i="2"/>
  <c r="Q5" i="7"/>
  <c r="Q34" i="7"/>
  <c r="W10" i="2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D10" i="2"/>
  <c r="V30" i="2"/>
  <c r="Q52" i="7"/>
  <c r="Q43" i="3"/>
  <c r="Q42" i="3"/>
  <c r="H13" i="1"/>
  <c r="H11" i="1"/>
  <c r="D24" i="2"/>
  <c r="O24" i="2" s="1"/>
  <c r="I29" i="3"/>
  <c r="H14" i="3"/>
  <c r="T9" i="2"/>
  <c r="K7" i="2"/>
  <c r="AC7" i="2"/>
  <c r="AC6" i="2"/>
  <c r="Q7" i="2"/>
  <c r="V6" i="2"/>
  <c r="P6" i="2"/>
  <c r="P3" i="7" s="1"/>
  <c r="D6" i="2"/>
  <c r="E3" i="7" s="1"/>
  <c r="C3" i="2"/>
  <c r="B1" i="7" s="1"/>
  <c r="Q10" i="2"/>
  <c r="O8" i="2"/>
  <c r="D14" i="5"/>
  <c r="Q5" i="3"/>
  <c r="Q60" i="3"/>
  <c r="Q44" i="3"/>
  <c r="Q41" i="3"/>
  <c r="Q39" i="3"/>
  <c r="Q38" i="3"/>
  <c r="Q37" i="3"/>
  <c r="Q36" i="3"/>
  <c r="Q33" i="3"/>
  <c r="M8" i="3"/>
  <c r="F17" i="1"/>
  <c r="H21" i="2" l="1"/>
  <c r="O21" i="2" s="1"/>
  <c r="AB21" i="2" s="1"/>
  <c r="I9" i="2"/>
  <c r="P24" i="2"/>
  <c r="AB24" i="2" s="1"/>
  <c r="F11" i="5"/>
  <c r="X9" i="2" s="1"/>
  <c r="H9" i="2"/>
  <c r="O9" i="2" s="1"/>
  <c r="H22" i="2"/>
  <c r="O22" i="2" s="1"/>
  <c r="AB22" i="2" s="1"/>
  <c r="T10" i="2"/>
  <c r="H10" i="2"/>
  <c r="O10" i="2" s="1"/>
  <c r="I10" i="2"/>
  <c r="O29" i="3"/>
  <c r="O28" i="3"/>
  <c r="O27" i="3"/>
  <c r="O26" i="3"/>
  <c r="O25" i="3"/>
  <c r="O24" i="3"/>
  <c r="O23" i="3"/>
  <c r="I30" i="3"/>
  <c r="I28" i="3"/>
  <c r="I25" i="3"/>
  <c r="I24" i="3"/>
  <c r="I23" i="3"/>
  <c r="I6" i="1"/>
  <c r="I5" i="1"/>
  <c r="L3" i="3"/>
  <c r="N29" i="2"/>
  <c r="N28" i="2"/>
  <c r="N26" i="2"/>
  <c r="N25" i="2"/>
  <c r="W25" i="2" s="1"/>
  <c r="M9" i="3"/>
  <c r="J11" i="2"/>
  <c r="O55" i="7" l="1"/>
  <c r="O63" i="3"/>
  <c r="W30" i="2"/>
  <c r="O25" i="2"/>
  <c r="AB25" i="2" s="1"/>
  <c r="Q17" i="3"/>
  <c r="Q17" i="7"/>
  <c r="AC28" i="2"/>
  <c r="AC29" i="2"/>
  <c r="N27" i="2"/>
  <c r="AC26" i="2"/>
  <c r="P3" i="3"/>
  <c r="N24" i="2"/>
  <c r="K10" i="2"/>
  <c r="K11" i="2" l="1"/>
  <c r="K12" i="2" s="1"/>
  <c r="K13" i="2" s="1"/>
  <c r="K14" i="2" s="1"/>
  <c r="K15" i="2" s="1"/>
  <c r="K16" i="2" s="1"/>
  <c r="K17" i="2" s="1"/>
  <c r="K18" i="2" s="1"/>
  <c r="K19" i="2" s="1"/>
  <c r="K20" i="2" s="1"/>
  <c r="I27" i="3"/>
  <c r="AC27" i="2"/>
  <c r="AC24" i="2"/>
  <c r="K30" i="2" l="1"/>
  <c r="AB9" i="2"/>
  <c r="U10" i="2" l="1"/>
  <c r="P10" i="2"/>
  <c r="AB10" i="2" s="1"/>
  <c r="A2" i="1"/>
  <c r="K14" i="3"/>
  <c r="M12" i="3"/>
  <c r="E14" i="3" s="1"/>
  <c r="E3" i="3"/>
  <c r="B1" i="3"/>
  <c r="J12" i="2"/>
  <c r="J13" i="2" s="1"/>
  <c r="J14" i="2" s="1"/>
  <c r="J15" i="2" s="1"/>
  <c r="J16" i="2" s="1"/>
  <c r="J17" i="2" s="1"/>
  <c r="J18" i="2" s="1"/>
  <c r="J19" i="2" s="1"/>
  <c r="J20" i="2" s="1"/>
  <c r="J10" i="2"/>
  <c r="M10" i="2"/>
  <c r="L10" i="2"/>
  <c r="G10" i="2"/>
  <c r="F10" i="2"/>
  <c r="E10" i="2"/>
  <c r="E11" i="2"/>
  <c r="E12" i="2"/>
  <c r="E13" i="2"/>
  <c r="E14" i="2"/>
  <c r="E15" i="2"/>
  <c r="E16" i="2"/>
  <c r="E17" i="2"/>
  <c r="E18" i="2"/>
  <c r="E19" i="2"/>
  <c r="E20" i="2"/>
  <c r="J30" i="2" l="1"/>
  <c r="E30" i="2"/>
  <c r="G11" i="2"/>
  <c r="G12" i="2" s="1"/>
  <c r="G13" i="2" s="1"/>
  <c r="G14" i="2" s="1"/>
  <c r="G15" i="2" s="1"/>
  <c r="G16" i="2" s="1"/>
  <c r="G17" i="2" s="1"/>
  <c r="G18" i="2" s="1"/>
  <c r="G19" i="2" s="1"/>
  <c r="G20" i="2" s="1"/>
  <c r="S11" i="2"/>
  <c r="S12" i="2" s="1"/>
  <c r="S13" i="2" s="1"/>
  <c r="S14" i="2" s="1"/>
  <c r="S15" i="2" s="1"/>
  <c r="S16" i="2" s="1"/>
  <c r="S17" i="2" s="1"/>
  <c r="S18" i="2" s="1"/>
  <c r="S19" i="2" s="1"/>
  <c r="S20" i="2" s="1"/>
  <c r="Q11" i="2"/>
  <c r="R11" i="2" s="1"/>
  <c r="F11" i="2"/>
  <c r="F12" i="2" s="1"/>
  <c r="F13" i="2" s="1"/>
  <c r="F14" i="2" s="1"/>
  <c r="F15" i="2" s="1"/>
  <c r="F16" i="2" s="1"/>
  <c r="F17" i="2" s="1"/>
  <c r="F18" i="2" s="1"/>
  <c r="F19" i="2" s="1"/>
  <c r="F20" i="2" s="1"/>
  <c r="L11" i="2"/>
  <c r="L12" i="2" s="1"/>
  <c r="L13" i="2" s="1"/>
  <c r="L14" i="2" s="1"/>
  <c r="L15" i="2" s="1"/>
  <c r="L16" i="2" s="1"/>
  <c r="L17" i="2" s="1"/>
  <c r="L18" i="2" s="1"/>
  <c r="L19" i="2" s="1"/>
  <c r="L20" i="2" s="1"/>
  <c r="P11" i="2"/>
  <c r="P12" i="2" s="1"/>
  <c r="P13" i="2" s="1"/>
  <c r="P14" i="2" s="1"/>
  <c r="P15" i="2" s="1"/>
  <c r="P16" i="2" s="1"/>
  <c r="P17" i="2" s="1"/>
  <c r="P18" i="2" s="1"/>
  <c r="P19" i="2" s="1"/>
  <c r="P20" i="2" s="1"/>
  <c r="U11" i="2"/>
  <c r="U12" i="2" s="1"/>
  <c r="U13" i="2" s="1"/>
  <c r="U14" i="2" s="1"/>
  <c r="U15" i="2" s="1"/>
  <c r="U16" i="2" s="1"/>
  <c r="U17" i="2" s="1"/>
  <c r="U18" i="2" s="1"/>
  <c r="U19" i="2" s="1"/>
  <c r="U20" i="2" s="1"/>
  <c r="D11" i="2"/>
  <c r="AC25" i="2"/>
  <c r="N9" i="2"/>
  <c r="M11" i="2"/>
  <c r="M12" i="2" s="1"/>
  <c r="M13" i="2" s="1"/>
  <c r="M14" i="2" s="1"/>
  <c r="M15" i="2" s="1"/>
  <c r="M16" i="2" s="1"/>
  <c r="M17" i="2" s="1"/>
  <c r="M18" i="2" s="1"/>
  <c r="M19" i="2" s="1"/>
  <c r="M20" i="2" s="1"/>
  <c r="F30" i="2" l="1"/>
  <c r="M30" i="2"/>
  <c r="U30" i="2"/>
  <c r="L30" i="2"/>
  <c r="G30" i="2"/>
  <c r="T11" i="2"/>
  <c r="S30" i="2"/>
  <c r="P30" i="2"/>
  <c r="Q12" i="2"/>
  <c r="Q13" i="2" s="1"/>
  <c r="Q14" i="2" s="1"/>
  <c r="Q15" i="2" s="1"/>
  <c r="Q16" i="2" s="1"/>
  <c r="Q17" i="2" s="1"/>
  <c r="Q18" i="2" s="1"/>
  <c r="Q19" i="2" s="1"/>
  <c r="Q20" i="2" s="1"/>
  <c r="R30" i="2"/>
  <c r="I11" i="2"/>
  <c r="H11" i="2"/>
  <c r="O11" i="2" s="1"/>
  <c r="D12" i="2"/>
  <c r="N10" i="2"/>
  <c r="AB11" i="2" l="1"/>
  <c r="T12" i="2"/>
  <c r="Q30" i="2"/>
  <c r="I21" i="3" s="1"/>
  <c r="F55" i="7"/>
  <c r="L55" i="7"/>
  <c r="I22" i="3"/>
  <c r="I12" i="2"/>
  <c r="H12" i="2"/>
  <c r="O12" i="2" s="1"/>
  <c r="D13" i="2"/>
  <c r="D23" i="2" s="1"/>
  <c r="H23" i="2" s="1"/>
  <c r="AC10" i="2"/>
  <c r="N11" i="2"/>
  <c r="F63" i="3"/>
  <c r="M14" i="3"/>
  <c r="Q15" i="3" s="1"/>
  <c r="AB12" i="2" l="1"/>
  <c r="T13" i="2"/>
  <c r="J55" i="7"/>
  <c r="M55" i="7"/>
  <c r="I13" i="2"/>
  <c r="H13" i="2"/>
  <c r="O13" i="2" s="1"/>
  <c r="AB13" i="2" s="1"/>
  <c r="AC11" i="2"/>
  <c r="N12" i="2"/>
  <c r="D14" i="2"/>
  <c r="T14" i="2" l="1"/>
  <c r="Q55" i="7"/>
  <c r="I14" i="2"/>
  <c r="H14" i="2"/>
  <c r="O14" i="2" s="1"/>
  <c r="AB14" i="2" s="1"/>
  <c r="N13" i="2"/>
  <c r="AC12" i="2"/>
  <c r="J63" i="3"/>
  <c r="D15" i="2"/>
  <c r="T15" i="2" l="1"/>
  <c r="I15" i="2"/>
  <c r="H15" i="2"/>
  <c r="O15" i="2" s="1"/>
  <c r="N14" i="2"/>
  <c r="AC13" i="2"/>
  <c r="M63" i="3"/>
  <c r="L63" i="3"/>
  <c r="F8" i="1"/>
  <c r="D16" i="2"/>
  <c r="T16" i="2" l="1"/>
  <c r="Q63" i="3"/>
  <c r="I16" i="2"/>
  <c r="H16" i="2"/>
  <c r="O16" i="2" s="1"/>
  <c r="AC14" i="2"/>
  <c r="N15" i="2"/>
  <c r="J3" i="5" s="1"/>
  <c r="X15" i="2" s="1"/>
  <c r="AB15" i="2" s="1"/>
  <c r="D17" i="2"/>
  <c r="T17" i="2" l="1"/>
  <c r="I17" i="2"/>
  <c r="H17" i="2"/>
  <c r="O17" i="2" s="1"/>
  <c r="N16" i="2"/>
  <c r="J4" i="5" s="1"/>
  <c r="X16" i="2" s="1"/>
  <c r="AB16" i="2" s="1"/>
  <c r="AC9" i="2"/>
  <c r="D18" i="2"/>
  <c r="AB17" i="2" l="1"/>
  <c r="T18" i="2"/>
  <c r="AC16" i="2"/>
  <c r="AC15" i="2"/>
  <c r="N21" i="2"/>
  <c r="I18" i="2"/>
  <c r="H18" i="2"/>
  <c r="O18" i="2" s="1"/>
  <c r="AB18" i="2" s="1"/>
  <c r="N17" i="2"/>
  <c r="J5" i="5" s="1"/>
  <c r="N22" i="2"/>
  <c r="AC22" i="2" s="1"/>
  <c r="N23" i="2"/>
  <c r="D19" i="2"/>
  <c r="T19" i="2" l="1"/>
  <c r="AC23" i="2"/>
  <c r="AC21" i="2"/>
  <c r="I19" i="2"/>
  <c r="H19" i="2"/>
  <c r="O19" i="2" s="1"/>
  <c r="AB19" i="2" s="1"/>
  <c r="N18" i="2"/>
  <c r="J6" i="5" s="1"/>
  <c r="D20" i="2"/>
  <c r="AC18" i="2" l="1"/>
  <c r="T20" i="2"/>
  <c r="T30" i="2" s="1"/>
  <c r="D30" i="2"/>
  <c r="AC17" i="2"/>
  <c r="I20" i="2"/>
  <c r="I30" i="2" s="1"/>
  <c r="H20" i="2"/>
  <c r="O20" i="2" s="1"/>
  <c r="N19" i="2"/>
  <c r="J7" i="5" s="1"/>
  <c r="O30" i="2" l="1"/>
  <c r="AB20" i="2"/>
  <c r="AC19" i="2"/>
  <c r="H18" i="1"/>
  <c r="H30" i="2"/>
  <c r="H21" i="1"/>
  <c r="J9" i="1" l="1"/>
  <c r="I26" i="3"/>
  <c r="N20" i="2"/>
  <c r="J8" i="5" s="1"/>
  <c r="X30" i="2" l="1"/>
  <c r="E15" i="1" s="1"/>
  <c r="Q40" i="3" s="1"/>
  <c r="N30" i="2"/>
  <c r="Q4" i="7" s="1"/>
  <c r="AB30" i="2" l="1"/>
  <c r="Q4" i="3"/>
  <c r="F4" i="1" s="1"/>
  <c r="I9" i="1"/>
  <c r="H9" i="1" s="1"/>
  <c r="Q21" i="7" s="1"/>
  <c r="Q23" i="7" s="1"/>
  <c r="Q35" i="7" s="1"/>
  <c r="Q6" i="7"/>
  <c r="Q10" i="7" s="1"/>
  <c r="Q11" i="7" s="1"/>
  <c r="Q16" i="7" s="1"/>
  <c r="Q18" i="7" s="1"/>
  <c r="AC20" i="2" l="1"/>
  <c r="AC30" i="2" s="1"/>
  <c r="Q36" i="7"/>
  <c r="Q37" i="7" s="1"/>
  <c r="Q32" i="3"/>
  <c r="E9" i="1"/>
  <c r="O21" i="3" s="1"/>
  <c r="Q6" i="3"/>
  <c r="M7" i="3" s="1"/>
  <c r="Q10" i="3" s="1"/>
  <c r="Q45" i="7" l="1"/>
  <c r="Q43" i="7"/>
  <c r="Q46" i="7"/>
  <c r="Q41" i="7"/>
  <c r="Q44" i="7"/>
  <c r="Q42" i="7"/>
  <c r="Q48" i="7"/>
  <c r="Q45" i="3"/>
  <c r="Q11" i="3"/>
  <c r="Q16" i="3" s="1"/>
  <c r="Q18" i="3" s="1"/>
  <c r="Q47" i="7" l="1"/>
  <c r="Q49" i="7" s="1"/>
  <c r="Q50" i="7" s="1"/>
  <c r="Q51" i="7" s="1"/>
  <c r="Q53" i="7" s="1"/>
  <c r="I10" i="1"/>
  <c r="K10" i="1" s="1"/>
  <c r="J10" i="1" s="1"/>
  <c r="O30" i="3"/>
  <c r="Q31" i="3" s="1"/>
  <c r="Q56" i="7" l="1"/>
  <c r="B56" i="7"/>
  <c r="F12" i="1"/>
  <c r="D22" i="1"/>
  <c r="A22" i="1"/>
  <c r="Q34" i="3"/>
  <c r="Q46" i="3" s="1"/>
  <c r="Q47" i="3" s="1"/>
  <c r="Q48" i="3" s="1"/>
  <c r="Q52" i="3" s="1"/>
  <c r="Q54" i="3" l="1"/>
  <c r="F6" i="1"/>
  <c r="Q53" i="3"/>
  <c r="Q55" i="3" l="1"/>
  <c r="Q56" i="3" s="1"/>
  <c r="Q57" i="3" l="1"/>
  <c r="Q58" i="3" s="1"/>
  <c r="Q59" i="3" s="1"/>
  <c r="Q61" i="3" s="1"/>
  <c r="B64" i="3" s="1"/>
  <c r="A21" i="1" s="1"/>
  <c r="Q64" i="3" l="1"/>
  <c r="D21" i="1" s="1"/>
</calcChain>
</file>

<file path=xl/sharedStrings.xml><?xml version="1.0" encoding="utf-8"?>
<sst xmlns="http://schemas.openxmlformats.org/spreadsheetml/2006/main" count="501" uniqueCount="308">
  <si>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</si>
  <si>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</si>
  <si>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</si>
  <si>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</si>
  <si>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</si>
  <si>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</si>
  <si>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</si>
  <si>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</si>
  <si>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</si>
  <si>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</si>
  <si>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</si>
  <si>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</si>
  <si>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</si>
  <si>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</si>
  <si>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</si>
  <si>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</si>
  <si>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</si>
  <si>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</si>
  <si>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</si>
  <si>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</si>
  <si>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</si>
  <si>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</si>
  <si>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</si>
  <si>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</si>
  <si>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</si>
  <si>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</si>
  <si>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Gross Pay</t>
  </si>
  <si>
    <t>Taxable Amt</t>
  </si>
  <si>
    <t>vU; vk;</t>
  </si>
  <si>
    <t>PAN :</t>
  </si>
  <si>
    <t>Name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</si>
  <si>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</si>
  <si>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</si>
  <si>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</si>
  <si>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</si>
  <si>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</si>
  <si>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</si>
  <si>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</si>
  <si>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(i)</t>
  </si>
  <si>
    <t>(x)</t>
  </si>
  <si>
    <t>(ii)</t>
  </si>
  <si>
    <t>(xi)</t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</si>
  <si>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</si>
  <si>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</si>
  <si>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</si>
  <si>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</si>
  <si>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</si>
  <si>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</si>
  <si>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</si>
  <si>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</si>
  <si>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</si>
  <si>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</si>
  <si>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</si>
  <si>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</si>
  <si>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</si>
  <si>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</si>
  <si>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</si>
  <si>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</si>
  <si>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</si>
  <si>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</si>
  <si>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</si>
  <si>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</si>
  <si>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</si>
  <si>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</si>
  <si>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</si>
  <si>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</si>
  <si>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</si>
  <si>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</si>
  <si>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</si>
  <si>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</si>
  <si>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</si>
  <si>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</si>
  <si>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</si>
  <si>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</si>
  <si>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</si>
  <si>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t>,d O;fDr dj nkrk</t>
  </si>
  <si>
    <t>dqy 'ks"k vk;dj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</si>
  <si>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</si>
  <si>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</si>
  <si>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</si>
  <si>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</si>
  <si>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Chandra Prakash Kurmi</t>
  </si>
  <si>
    <t>Leave  Pay</t>
  </si>
  <si>
    <t xml:space="preserve">Other </t>
  </si>
  <si>
    <t>Total
Deduction</t>
  </si>
  <si>
    <t>Gross  Salary</t>
  </si>
  <si>
    <t>Bill No. - Date 
/ 
TV No. - Date</t>
  </si>
  <si>
    <t>Washing Allow.</t>
  </si>
  <si>
    <t>ofj"B ukxfjd ¼60 ls 80 o"kZ rd½</t>
  </si>
  <si>
    <t>3,00,001-5,00,000</t>
  </si>
  <si>
    <t>Bank A/c :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</si>
  <si>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</si>
  <si>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</si>
  <si>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</si>
  <si>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</si>
  <si>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</si>
  <si>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</si>
  <si>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</si>
  <si>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t>Rebate Under Section
80C, 80CCC, 80CCD(1)</t>
  </si>
  <si>
    <t>Lecturer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</si>
  <si>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</si>
  <si>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</si>
  <si>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rPr>
        <sz val="18"/>
        <color theme="0"/>
        <rFont val="DevLys 010"/>
      </rPr>
      <t xml:space="preserve">lkHkkj % pUnz izdk'k dqeh]Z izk/;kid HkkSfrdh] jk-m-ek-fo- VksMkjk;flag ¼Vksad½ </t>
    </r>
    <r>
      <rPr>
        <sz val="16"/>
        <color theme="0"/>
        <rFont val="DevLys 010"/>
      </rPr>
      <t xml:space="preserve">
</t>
    </r>
    <r>
      <rPr>
        <sz val="18"/>
        <color theme="0"/>
        <rFont val="DevLys 010"/>
      </rPr>
      <t>fdlh Hkh izdkj dh rduhdh leL;k@lq&gt;ko ds fy, bZesy djsa &amp;</t>
    </r>
    <r>
      <rPr>
        <sz val="16"/>
        <color theme="0"/>
        <rFont val="DevLys 010"/>
      </rPr>
      <t xml:space="preserve"> </t>
    </r>
    <r>
      <rPr>
        <sz val="13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>cpkurmi@gmail.com</t>
    </r>
  </si>
  <si>
    <r>
      <t xml:space="preserve">dqy dVkSrh </t>
    </r>
    <r>
      <rPr>
        <b/>
        <sz val="10"/>
        <rFont val="Arial"/>
        <family val="2"/>
      </rPr>
      <t>( 11 + 12)</t>
    </r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</si>
  <si>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</si>
  <si>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</si>
  <si>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</si>
  <si>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</si>
  <si>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</si>
  <si>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</si>
  <si>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</si>
  <si>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</si>
  <si>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</si>
  <si>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</si>
  <si>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</si>
  <si>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</si>
  <si>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</si>
  <si>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</si>
  <si>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</si>
  <si>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</si>
  <si>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</si>
  <si>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</si>
  <si>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</si>
  <si>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Group Insurance  
Accidental</t>
  </si>
  <si>
    <t>ROP (If any, put the value in minus)</t>
  </si>
  <si>
    <t>Net Payment</t>
  </si>
  <si>
    <t>TAN:</t>
  </si>
  <si>
    <t>Other Allowance 1</t>
  </si>
  <si>
    <t>Other Allowance 2</t>
  </si>
  <si>
    <t>www.rssrashtriya.org</t>
  </si>
  <si>
    <t>H.R.A.</t>
  </si>
  <si>
    <t>osru ds vfrfjDr dVkSfr;k¡] vk;@tek jkf'k ,oa NwV dk fooj.k</t>
  </si>
  <si>
    <t>How to use this Utility</t>
  </si>
  <si>
    <t>GA 55 A Sheet</t>
  </si>
  <si>
    <r>
      <t xml:space="preserve">vkidks ftrus dkfeZdksa dh vk;dj x.kuk djuh gS] loZizFke mruh ckj odZcqd dks muds uke ls </t>
    </r>
    <r>
      <rPr>
        <sz val="12"/>
        <rFont val="Calibri"/>
        <family val="2"/>
        <scheme val="minor"/>
      </rPr>
      <t xml:space="preserve">Save as </t>
    </r>
    <r>
      <rPr>
        <sz val="14"/>
        <rFont val="DevLys 010"/>
      </rPr>
      <t>dj ysosaA</t>
    </r>
  </si>
  <si>
    <t>Other Deduction Sheet</t>
  </si>
  <si>
    <t xml:space="preserve">bl 'khV esa osru ds vfrfjDr vk;] fofHkUu dVkSfr;k¡] fofHkUu tek jkf'k@NwV] osru ds vykok dkVk x;k vk;dj vkfn fooj.k fy[kk tkuk gSA </t>
  </si>
  <si>
    <r>
      <t xml:space="preserve">bl 'khV esa </t>
    </r>
    <r>
      <rPr>
        <sz val="12"/>
        <rFont val="Calibri"/>
        <family val="2"/>
        <scheme val="minor"/>
      </rPr>
      <t xml:space="preserve">GA55A </t>
    </r>
    <r>
      <rPr>
        <sz val="14"/>
        <rFont val="DevLys 010"/>
      </rPr>
      <t>rFkk</t>
    </r>
    <r>
      <rPr>
        <sz val="12"/>
        <rFont val="Calibri"/>
        <family val="2"/>
        <scheme val="minor"/>
      </rPr>
      <t xml:space="preserve"> Other Dedution </t>
    </r>
    <r>
      <rPr>
        <sz val="14"/>
        <rFont val="DevLys 010"/>
      </rPr>
      <t>dk</t>
    </r>
    <r>
      <rPr>
        <sz val="12"/>
        <rFont val="Calibri"/>
        <family val="2"/>
        <scheme val="minor"/>
      </rPr>
      <t xml:space="preserve"> Data </t>
    </r>
    <r>
      <rPr>
        <sz val="14"/>
        <rFont val="DevLys 010"/>
      </rPr>
      <t xml:space="preserve">Lor% vk;sxkA bl 'khV esa vkidks </t>
    </r>
    <r>
      <rPr>
        <sz val="12"/>
        <rFont val="Calibri"/>
        <family val="2"/>
        <scheme val="minor"/>
      </rPr>
      <t xml:space="preserve">Edit </t>
    </r>
    <r>
      <rPr>
        <sz val="14"/>
        <rFont val="DevLys 010"/>
      </rPr>
      <t xml:space="preserve">dh vuqefr ugha gSA tks Hkh ifjorZu djuk gS </t>
    </r>
    <r>
      <rPr>
        <sz val="12"/>
        <rFont val="Calibri"/>
        <family val="2"/>
        <scheme val="minor"/>
      </rPr>
      <t>GA55A</t>
    </r>
    <r>
      <rPr>
        <sz val="14"/>
        <rFont val="DevLys 010"/>
      </rPr>
      <t xml:space="preserve"> rFkk </t>
    </r>
    <r>
      <rPr>
        <sz val="12"/>
        <rFont val="Calibri"/>
        <family val="2"/>
        <scheme val="minor"/>
      </rPr>
      <t>Other Dedution</t>
    </r>
    <r>
      <rPr>
        <sz val="14"/>
        <rFont val="DevLys 010"/>
      </rPr>
      <t xml:space="preserve"> 'khV esa gh djsA</t>
    </r>
    <r>
      <rPr>
        <sz val="12"/>
        <rFont val="Calibri"/>
        <family val="2"/>
        <scheme val="minor"/>
      </rPr>
      <t xml:space="preserve"> NPS Employee </t>
    </r>
    <r>
      <rPr>
        <sz val="14"/>
        <rFont val="DevLys 010"/>
      </rPr>
      <t xml:space="preserve">ds fy, ldy vk; esa </t>
    </r>
    <r>
      <rPr>
        <sz val="12"/>
        <rFont val="Calibri"/>
        <family val="2"/>
        <scheme val="minor"/>
      </rPr>
      <t xml:space="preserve">Govt. Contribution Pension Fund </t>
    </r>
    <r>
      <rPr>
        <sz val="14"/>
        <rFont val="DevLys 010"/>
      </rPr>
      <t>dh jkf'k tksM+h x;h gSA</t>
    </r>
  </si>
  <si>
    <t>Print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</si>
  <si>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</si>
  <si>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(xviii)</t>
  </si>
  <si>
    <t>lqdU;k le`f) ;kstuk esa tek jkf'k</t>
  </si>
  <si>
    <t>SI No.</t>
  </si>
  <si>
    <t>Mobile No. :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</si>
  <si>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</si>
  <si>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</si>
  <si>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</si>
  <si>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</si>
  <si>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</si>
  <si>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</si>
  <si>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9"/>
        <rFont val="DevLys 010 "/>
      </rPr>
      <t>¼vf/kdre : 40]000] lhfu;j flVhtu gsrq : 100]000½</t>
    </r>
  </si>
  <si>
    <t>;g odZcqd jktLFkku ds f'k{kdksa dh mi;ksfxrk ds fy, rS;kj dh xbZ gSA ladyu ,oa x.kuk esa iw.kZ lko/kkuh j[kh xbZ gSA fQj Hkh =qfV @ fdlh Hkh izdkj dh fofHkUurk dh fLFkfr esa vk;dj foHkkx ds fu;e gh ekU; gSA rS;kjdrkZ dk dksbZ mRrjnkf;Ro ugha gksxkA</t>
  </si>
  <si>
    <t>dqy VSDl dVkSrh
;ksx dkWye 19</t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</si>
  <si>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 yk[k rd dh dj ;ksX; vk; ij vk;dj dh NwV vf/kdre :- 12500 rd½</t>
    </r>
  </si>
  <si>
    <r>
      <t>isa'ku Iyku gsrq va'knku 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</si>
  <si>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(xix)</t>
  </si>
  <si>
    <r>
      <t xml:space="preserve">9-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</si>
  <si>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C;kt dh vf/kdre NwV :- 10]000           </t>
    </r>
    <r>
      <rPr>
        <sz val="10"/>
        <rFont val="Calibri"/>
        <family val="2"/>
        <scheme val="minor"/>
      </rPr>
      <t>U/S 194(IA)</t>
    </r>
  </si>
  <si>
    <r>
      <t xml:space="preserve">8- /kkjk </t>
    </r>
    <r>
      <rPr>
        <sz val="10"/>
        <rFont val="Calibri"/>
        <family val="2"/>
        <scheme val="minor"/>
      </rPr>
      <t xml:space="preserve">80 TTB - </t>
    </r>
    <r>
      <rPr>
        <sz val="12"/>
        <rFont val="DevLys 010"/>
      </rPr>
      <t xml:space="preserve">aofj"B ukxfjdksa dks lHkh izdkj ds C;kt ij vf/kdre NwV&amp;  50000 :-       </t>
    </r>
    <r>
      <rPr>
        <sz val="10"/>
        <rFont val="Calibri"/>
        <family val="2"/>
        <scheme val="minor"/>
      </rPr>
      <t xml:space="preserve">U/S </t>
    </r>
    <r>
      <rPr>
        <sz val="12"/>
        <rFont val="DevLys 010"/>
      </rPr>
      <t>194</t>
    </r>
    <r>
      <rPr>
        <sz val="10"/>
        <rFont val="Calibri"/>
        <family val="2"/>
        <scheme val="minor"/>
      </rPr>
      <t>(A)</t>
    </r>
  </si>
  <si>
    <r>
      <t xml:space="preserve">;ksx </t>
    </r>
    <r>
      <rPr>
        <b/>
        <sz val="12"/>
        <rFont val="Times New Roman"/>
        <family val="1"/>
      </rPr>
      <t xml:space="preserve">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</si>
  <si>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50,000</t>
    </r>
    <r>
      <rPr>
        <sz val="12"/>
        <rFont val="DevLys 010"/>
      </rPr>
      <t xml:space="preserve"> ¼vf/kdre½ /kkjk 16 </t>
    </r>
    <r>
      <rPr>
        <sz val="11"/>
        <rFont val="Calibri"/>
        <family val="2"/>
        <scheme val="minor"/>
      </rPr>
      <t>(ia)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</si>
  <si>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 xml:space="preserve">½euksjatu Hkrk /kkjk 16 </t>
    </r>
    <r>
      <rPr>
        <sz val="11"/>
        <rFont val="Calibri"/>
        <family val="2"/>
        <scheme val="minor"/>
      </rPr>
      <t>(ii)</t>
    </r>
    <r>
      <rPr>
        <sz val="12"/>
        <rFont val="DevLys 010"/>
      </rPr>
      <t xml:space="preserve"> ds vUrxrZ ¼ vf/kdre lhek : 5000 ½</t>
    </r>
  </si>
  <si>
    <t xml:space="preserve">                                                           ;ksx ¼5½</t>
  </si>
  <si>
    <t>ldy vk;                                                                          ;ksx ¼8$9½</t>
  </si>
  <si>
    <t>17- bfDoVh fyad lsfoax Ldhe</t>
  </si>
  <si>
    <r>
      <t xml:space="preserve">18- LFkfxr okf"kZdh </t>
    </r>
    <r>
      <rPr>
        <sz val="11"/>
        <rFont val="Calibri"/>
        <family val="2"/>
        <scheme val="minor"/>
      </rPr>
      <t>(Defferred Annuty)</t>
    </r>
  </si>
  <si>
    <t>vU; tek jkf'k ¼/kkjk 80 lh ds vUrxZr½</t>
  </si>
  <si>
    <t>21- ,QMh vkfn vU; tek jkf'k ij izkIr dqy C;kt ¼ihih,Q dks NksM+dj½</t>
  </si>
  <si>
    <r>
      <t xml:space="preserve">20- cpr [kkrs </t>
    </r>
    <r>
      <rPr>
        <sz val="11"/>
        <rFont val="Times New Roman"/>
        <family val="1"/>
      </rPr>
      <t>(Saving Accounts)</t>
    </r>
    <r>
      <rPr>
        <sz val="13"/>
        <rFont val="DevLys 010"/>
      </rPr>
      <t xml:space="preserve"> dh tek jkf'k ij izkIr C;kt</t>
    </r>
  </si>
  <si>
    <r>
      <t>19- LVs.MMZ fMMsD'ku :i;s</t>
    </r>
    <r>
      <rPr>
        <sz val="13"/>
        <rFont val="Times New Roman"/>
        <family val="1"/>
      </rPr>
      <t xml:space="preserve">  </t>
    </r>
    <r>
      <rPr>
        <sz val="11"/>
        <rFont val="Times New Roman"/>
        <family val="1"/>
      </rPr>
      <t>50,000</t>
    </r>
    <r>
      <rPr>
        <sz val="13"/>
        <rFont val="DevLys 010"/>
      </rPr>
      <t xml:space="preserve"> ¼vf/kdre½ /kkjk </t>
    </r>
    <r>
      <rPr>
        <sz val="11"/>
        <rFont val="Times New Roman"/>
        <family val="1"/>
      </rPr>
      <t>16 (ia)</t>
    </r>
  </si>
  <si>
    <t>23- /kkjk 80 lh ds vUrxZr vU; en esa tek djk;h x;h jkf'k</t>
  </si>
  <si>
    <r>
      <t xml:space="preserve">24- /kkjk </t>
    </r>
    <r>
      <rPr>
        <sz val="11"/>
        <rFont val="Times New Roman"/>
        <family val="1"/>
      </rPr>
      <t>80CCC -</t>
    </r>
    <r>
      <rPr>
        <sz val="13"/>
        <rFont val="DevLys 010"/>
      </rPr>
      <t xml:space="preserve"> isa'ku Iyku gsrq va'knku ¼,u-ih-,l- ds avykok½</t>
    </r>
  </si>
  <si>
    <r>
      <t xml:space="preserve">25- ljdkjh isa'ku ;kstuk esa deZpkjh dk va'knku </t>
    </r>
    <r>
      <rPr>
        <sz val="10"/>
        <rFont val="DevLys 010"/>
      </rPr>
      <t xml:space="preserve">vf/kdre osru dk </t>
    </r>
    <r>
      <rPr>
        <sz val="10"/>
        <rFont val="Times New Roman"/>
        <family val="1"/>
      </rPr>
      <t>10%</t>
    </r>
    <r>
      <rPr>
        <sz val="10"/>
        <rFont val="DevLys 010"/>
      </rPr>
      <t xml:space="preserve"> /kkjk </t>
    </r>
    <r>
      <rPr>
        <sz val="10"/>
        <rFont val="Times New Roman"/>
        <family val="1"/>
      </rPr>
      <t>80CCD(1)</t>
    </r>
  </si>
  <si>
    <r>
      <t xml:space="preserve">26- /kkjk </t>
    </r>
    <r>
      <rPr>
        <sz val="11"/>
        <rFont val="Times New Roman"/>
        <family val="1"/>
      </rPr>
      <t>80CCD(1B)</t>
    </r>
    <r>
      <rPr>
        <sz val="13"/>
        <rFont val="DevLys 010"/>
      </rPr>
      <t xml:space="preserve"> uohu isa'ku ;kstuk esa vfrfjDr va'knku ¼vf/kdre :- 50]000½</t>
    </r>
  </si>
  <si>
    <r>
      <t xml:space="preserve">28- /kkjk </t>
    </r>
    <r>
      <rPr>
        <sz val="11"/>
        <rFont val="Times New Roman"/>
        <family val="1"/>
      </rPr>
      <t xml:space="preserve">80DD- </t>
    </r>
    <r>
      <rPr>
        <sz val="13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>80%</t>
    </r>
    <r>
      <rPr>
        <sz val="10"/>
        <rFont val="DevLys 010"/>
      </rPr>
      <t xml:space="preserve"> fodykaxrk 125000½</t>
    </r>
  </si>
  <si>
    <r>
      <t xml:space="preserve">29- /kkjk </t>
    </r>
    <r>
      <rPr>
        <sz val="11"/>
        <rFont val="Times New Roman"/>
        <family val="1"/>
      </rPr>
      <t xml:space="preserve">80DDB- </t>
    </r>
    <r>
      <rPr>
        <sz val="13"/>
        <rFont val="DevLys 010"/>
      </rPr>
      <t>fof'k"V jksxksa ds mipkj gsrq dVkSrh</t>
    </r>
    <r>
      <rPr>
        <sz val="10"/>
        <rFont val="DevLys 010"/>
      </rPr>
      <t xml:space="preserve"> ¼lkekU; 40000] ofj"B ukxfjd 1 yk[k½</t>
    </r>
  </si>
  <si>
    <r>
      <t xml:space="preserve">31- /kkjk </t>
    </r>
    <r>
      <rPr>
        <sz val="11"/>
        <rFont val="Times New Roman"/>
        <family val="1"/>
      </rPr>
      <t>80G -</t>
    </r>
    <r>
      <rPr>
        <sz val="13"/>
        <rFont val="DevLys 010"/>
      </rPr>
      <t xml:space="preserve"> /kekZFkZ laLFkkvksa vkfn dks fn;s nku ¼d Js.kh </t>
    </r>
    <r>
      <rPr>
        <sz val="11"/>
        <rFont val="Times New Roman"/>
        <family val="1"/>
      </rPr>
      <t>100%</t>
    </r>
    <r>
      <rPr>
        <sz val="13"/>
        <rFont val="DevLys 010"/>
      </rPr>
      <t xml:space="preserve"> ,oa [k Js.kh </t>
    </r>
    <r>
      <rPr>
        <sz val="11"/>
        <rFont val="Times New Roman"/>
        <family val="1"/>
      </rPr>
      <t>50%</t>
    </r>
    <r>
      <rPr>
        <sz val="13"/>
        <rFont val="DevLys 010"/>
      </rPr>
      <t>½</t>
    </r>
  </si>
  <si>
    <r>
      <t xml:space="preserve">30- /kkjk </t>
    </r>
    <r>
      <rPr>
        <sz val="11"/>
        <rFont val="Times New Roman"/>
        <family val="1"/>
      </rPr>
      <t>80E -</t>
    </r>
    <r>
      <rPr>
        <sz val="13"/>
        <rFont val="DevLys 010"/>
      </rPr>
      <t xml:space="preserve"> mPp f'k{kk gsrq fy, _.k dk C;kt</t>
    </r>
  </si>
  <si>
    <r>
      <t xml:space="preserve">27- /kkjk </t>
    </r>
    <r>
      <rPr>
        <sz val="11"/>
        <rFont val="Times New Roman"/>
        <family val="1"/>
      </rPr>
      <t>80D -</t>
    </r>
    <r>
      <rPr>
        <sz val="13"/>
        <rFont val="DevLys 010"/>
      </rPr>
      <t xml:space="preserve"> fpfdRlk chek izhfe;e ¼lkekU; 25000] ofj"B ukxfjd 50000½</t>
    </r>
  </si>
  <si>
    <r>
      <t xml:space="preserve">32- /kkjk </t>
    </r>
    <r>
      <rPr>
        <sz val="11"/>
        <rFont val="Times New Roman"/>
        <family val="1"/>
      </rPr>
      <t>80U -</t>
    </r>
    <r>
      <rPr>
        <sz val="13"/>
        <rFont val="DevLys 010"/>
      </rPr>
      <t xml:space="preserve"> LFkkbZ 'kkjhfjd fodykaxrk ¼vf/kdre</t>
    </r>
    <r>
      <rPr>
        <sz val="11"/>
        <rFont val="Times New Roman"/>
        <family val="1"/>
      </rPr>
      <t xml:space="preserve"> 75000, 80%</t>
    </r>
    <r>
      <rPr>
        <sz val="13"/>
        <rFont val="DevLys 010"/>
      </rPr>
      <t xml:space="preserve"> fodykaxrk </t>
    </r>
    <r>
      <rPr>
        <sz val="11"/>
        <rFont val="Times New Roman"/>
        <family val="1"/>
      </rPr>
      <t>125000</t>
    </r>
    <r>
      <rPr>
        <sz val="13"/>
        <rFont val="DevLys 010"/>
      </rPr>
      <t>½</t>
    </r>
  </si>
  <si>
    <r>
      <t xml:space="preserve">33- /kkjk </t>
    </r>
    <r>
      <rPr>
        <sz val="11"/>
        <rFont val="Times New Roman"/>
        <family val="1"/>
      </rPr>
      <t>80 GGA -</t>
    </r>
    <r>
      <rPr>
        <sz val="13"/>
        <rFont val="DevLys 010"/>
      </rPr>
      <t xml:space="preserve"> vuqeksfnr oSKkfud]lkekftd]xzkeh.k fodkl gsrq fn;k x;k nku</t>
    </r>
  </si>
  <si>
    <t>34- jkgr /kkjk 89 ds vUrxZr</t>
  </si>
  <si>
    <r>
      <t xml:space="preserve">35- osru fcy ds vykok tek djk;k x;k aavk;dj </t>
    </r>
    <r>
      <rPr>
        <sz val="11"/>
        <rFont val="Times New Roman"/>
        <family val="1"/>
      </rPr>
      <t>(TDS)</t>
    </r>
  </si>
  <si>
    <r>
      <t xml:space="preserve">15- jk"Vªh; cpr Ldhe </t>
    </r>
    <r>
      <rPr>
        <sz val="11"/>
        <rFont val="Times New Roman"/>
        <family val="1"/>
      </rPr>
      <t>(NSS)</t>
    </r>
  </si>
  <si>
    <r>
      <t xml:space="preserve">;ksx </t>
    </r>
    <r>
      <rPr>
        <sz val="10"/>
        <rFont val="Calibri"/>
        <family val="2"/>
        <scheme val="minor"/>
      </rPr>
      <t>11(A+B+C)</t>
    </r>
    <r>
      <rPr>
        <sz val="12"/>
        <rFont val="Arial"/>
        <family val="2"/>
      </rPr>
      <t xml:space="preserve">     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</si>
  <si>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O;olk; dj /kkjk 16 </t>
    </r>
    <r>
      <rPr>
        <sz val="10"/>
        <rFont val="Calibri"/>
        <family val="2"/>
        <scheme val="minor"/>
      </rPr>
      <t>(iii)</t>
    </r>
    <r>
      <rPr>
        <sz val="12"/>
        <rFont val="DevLys 010"/>
      </rPr>
      <t xml:space="preserve"> ds vUrxrZ 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</si>
  <si>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>US 80C, 80CCC,80CCD (1)</t>
    </r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</si>
  <si>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Calibri"/>
        <family val="2"/>
        <scheme val="minor"/>
      </rPr>
      <t>80CCE</t>
    </r>
    <r>
      <rPr>
        <sz val="12"/>
        <rFont val="DevLys 010"/>
      </rPr>
      <t xml:space="preserve"> ½ ] ¼/kkjk </t>
    </r>
    <r>
      <rPr>
        <sz val="10"/>
        <rFont val="Calibri"/>
        <family val="2"/>
        <scheme val="minor"/>
      </rPr>
      <t>80CCD (2)</t>
    </r>
    <r>
      <rPr>
        <sz val="10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</si>
  <si>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>22- vU; fofHkUu L=ks+= ¼C;kt ds vykok½ ls dqy vk;</t>
  </si>
  <si>
    <r>
      <t xml:space="preserve">2,50,000 </t>
    </r>
    <r>
      <rPr>
        <sz val="11"/>
        <rFont val="DevLys 010"/>
      </rPr>
      <t>rd</t>
    </r>
  </si>
  <si>
    <r>
      <t xml:space="preserve">3,00,000 </t>
    </r>
    <r>
      <rPr>
        <sz val="11"/>
        <rFont val="DevLys 010"/>
      </rPr>
      <t>rd</t>
    </r>
  </si>
  <si>
    <r>
      <t xml:space="preserve">5,00,000 </t>
    </r>
    <r>
      <rPr>
        <sz val="11"/>
        <rFont val="DevLys 010"/>
      </rPr>
      <t>rd</t>
    </r>
  </si>
  <si>
    <r>
      <rPr>
        <sz val="11"/>
        <rFont val="Calibri"/>
        <family val="2"/>
        <scheme val="minor"/>
      </rPr>
      <t>10,00,000</t>
    </r>
    <r>
      <rPr>
        <sz val="11"/>
        <rFont val="DevLys 010"/>
      </rPr>
      <t xml:space="preserve"> ls vf/kd</t>
    </r>
  </si>
  <si>
    <r>
      <t xml:space="preserve">10,00,000 </t>
    </r>
    <r>
      <rPr>
        <sz val="11"/>
        <rFont val="DevLys 010"/>
      </rPr>
      <t>ls vf/kd</t>
    </r>
  </si>
  <si>
    <t>36- /kkjk 10¼14½ ds vUrxZr HkÙks tks djeqDr gS</t>
  </si>
  <si>
    <r>
      <t xml:space="preserve">If you have Hindi font problem, then first you should install Hindi font </t>
    </r>
    <r>
      <rPr>
        <b/>
        <sz val="14"/>
        <color rgb="FF0000FF"/>
        <rFont val="Times New Roman"/>
        <family val="1"/>
      </rPr>
      <t>Mfdev010.ttf</t>
    </r>
    <r>
      <rPr>
        <sz val="14"/>
        <rFont val="Times New Roman"/>
        <family val="1"/>
      </rPr>
      <t xml:space="preserve"> &amp; </t>
    </r>
    <r>
      <rPr>
        <b/>
        <sz val="14"/>
        <color rgb="FF0000FF"/>
        <rFont val="Times New Roman"/>
        <family val="1"/>
      </rPr>
      <t>DevLys010.ttf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in your computer.</t>
    </r>
  </si>
  <si>
    <r>
      <t xml:space="preserve">DA arrear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PL Arrear </t>
    </r>
    <r>
      <rPr>
        <sz val="14"/>
        <rFont val="DevLys 010"/>
      </rPr>
      <t xml:space="preserve">Hkh tksM+k x;k gSA cksul ds uhps </t>
    </r>
    <r>
      <rPr>
        <sz val="12"/>
        <rFont val="Calibri"/>
        <family val="2"/>
        <scheme val="minor"/>
      </rPr>
      <t>Row Heading Cell Unlock</t>
    </r>
    <r>
      <rPr>
        <sz val="14"/>
        <rFont val="DevLys 010"/>
      </rPr>
      <t xml:space="preserve"> gS] budk uke ifjofrZr fd;k tk ldrk gSA</t>
    </r>
  </si>
  <si>
    <r>
      <t xml:space="preserve">vk;dj x.kuk izi= o"kZ 2020&amp;2021 ¼dj fu/kkZj.k o"kZ 2021&amp;2022½ </t>
    </r>
    <r>
      <rPr>
        <b/>
        <sz val="16"/>
        <rFont val="Calibri"/>
        <family val="2"/>
        <scheme val="minor"/>
      </rPr>
      <t>MS Excel Utility</t>
    </r>
    <r>
      <rPr>
        <b/>
        <sz val="18"/>
        <rFont val="Calibri"/>
        <family val="2"/>
        <scheme val="minor"/>
      </rPr>
      <t xml:space="preserve"> </t>
    </r>
  </si>
  <si>
    <r>
      <rPr>
        <sz val="12"/>
        <rFont val="Calibri"/>
        <family val="2"/>
        <scheme val="minor"/>
      </rPr>
      <t xml:space="preserve">GA55A &amp; Computation Sheet both </t>
    </r>
    <r>
      <rPr>
        <sz val="14"/>
        <rFont val="DevLys 010"/>
      </rPr>
      <t>dks</t>
    </r>
    <r>
      <rPr>
        <sz val="12"/>
        <rFont val="Calibri"/>
        <family val="2"/>
        <scheme val="minor"/>
      </rPr>
      <t xml:space="preserve"> </t>
    </r>
    <r>
      <rPr>
        <sz val="14"/>
        <rFont val="DevLys 010"/>
      </rPr>
      <t xml:space="preserve">isij lkbt </t>
    </r>
    <r>
      <rPr>
        <sz val="12"/>
        <rFont val="Calibri"/>
        <family val="2"/>
        <scheme val="minor"/>
      </rPr>
      <t>A4</t>
    </r>
    <r>
      <rPr>
        <sz val="14"/>
        <rFont val="DevLys 010"/>
      </rPr>
      <t xml:space="preserve"> ij</t>
    </r>
    <r>
      <rPr>
        <sz val="12"/>
        <rFont val="Calibri"/>
        <family val="2"/>
        <scheme val="minor"/>
      </rPr>
      <t xml:space="preserve"> Page Setup </t>
    </r>
    <r>
      <rPr>
        <sz val="14"/>
        <rFont val="DevLys 010"/>
      </rPr>
      <t>fd;k gqvk gSA</t>
    </r>
    <r>
      <rPr>
        <sz val="12"/>
        <rFont val="Calibri"/>
        <family val="2"/>
        <scheme val="minor"/>
      </rPr>
      <t xml:space="preserve">Old Tax Regime / New Tax Regime </t>
    </r>
    <r>
      <rPr>
        <sz val="14"/>
        <rFont val="DevLys 010"/>
      </rPr>
      <t>esa ls ftlesa vkidks Qk;nk gks mls pqusA lh/ks nksuksa 'khV dk vkxs ihNs fizaV ysaA</t>
    </r>
  </si>
  <si>
    <r>
      <t xml:space="preserve">nks ;k nks ls vf/kd </t>
    </r>
    <r>
      <rPr>
        <b/>
        <sz val="12"/>
        <color rgb="FF0000FF"/>
        <rFont val="Calibri"/>
        <family val="2"/>
        <scheme val="minor"/>
      </rPr>
      <t xml:space="preserve">DDO </t>
    </r>
    <r>
      <rPr>
        <b/>
        <sz val="14"/>
        <color rgb="FF0000FF"/>
        <rFont val="DevLys 010"/>
      </rPr>
      <t xml:space="preserve">ds v/khu lsok gksus ij QkWeZ ua- 16 vyx vyx izkIr djus ds fy, </t>
    </r>
    <r>
      <rPr>
        <b/>
        <sz val="12"/>
        <color rgb="FF0000FF"/>
        <rFont val="Calibri"/>
        <family val="2"/>
        <scheme val="minor"/>
      </rPr>
      <t xml:space="preserve">GA 55 </t>
    </r>
    <r>
      <rPr>
        <b/>
        <sz val="14"/>
        <color rgb="FF0000FF"/>
        <rFont val="DevLys 010"/>
      </rPr>
      <t xml:space="preserve">vyx vyx rS;kj djuk gksxkA blds fy, </t>
    </r>
    <r>
      <rPr>
        <b/>
        <sz val="12"/>
        <color rgb="FF0000FF"/>
        <rFont val="Calibri"/>
        <family val="2"/>
        <scheme val="minor"/>
      </rPr>
      <t xml:space="preserve">GA </t>
    </r>
    <r>
      <rPr>
        <b/>
        <sz val="14"/>
        <color rgb="FF0000FF"/>
        <rFont val="DevLys 010"/>
      </rPr>
      <t xml:space="preserve">55 esa vko';d iwfrZ djrs gq, 'ks"k </t>
    </r>
    <r>
      <rPr>
        <b/>
        <sz val="12"/>
        <color rgb="FF0000FF"/>
        <rFont val="Calibri"/>
        <family val="2"/>
        <scheme val="minor"/>
      </rPr>
      <t xml:space="preserve">ROW </t>
    </r>
    <r>
      <rPr>
        <b/>
        <sz val="14"/>
        <color rgb="FF0000FF"/>
        <rFont val="DevLys 010"/>
      </rPr>
      <t xml:space="preserve">dks [kkyh NksM+ nsaA </t>
    </r>
    <r>
      <rPr>
        <b/>
        <sz val="12"/>
        <color rgb="FF0000FF"/>
        <rFont val="Calibri"/>
        <family val="2"/>
        <scheme val="minor"/>
      </rPr>
      <t>Other Deduction Sheet</t>
    </r>
    <r>
      <rPr>
        <b/>
        <sz val="14"/>
        <color rgb="FF0000FF"/>
        <rFont val="DevLys 010"/>
      </rPr>
      <t xml:space="preserve"> esa</t>
    </r>
    <r>
      <rPr>
        <b/>
        <sz val="12"/>
        <color rgb="FF0000FF"/>
        <rFont val="Calibri"/>
        <family val="2"/>
        <scheme val="minor"/>
      </rPr>
      <t xml:space="preserve">  Standard Deduction</t>
    </r>
    <r>
      <rPr>
        <b/>
        <sz val="14"/>
        <color rgb="FF0000FF"/>
        <rFont val="DevLys 010"/>
      </rPr>
      <t xml:space="preserve"> 0 ;k 50000 pqusaA </t>
    </r>
  </si>
  <si>
    <t>Salary and Deduction Detail for FY : 2020-2021</t>
  </si>
  <si>
    <t>DA Arrear
7/19 to 12/19</t>
  </si>
  <si>
    <t>DA Arrear 
1/20 to 2/20</t>
  </si>
  <si>
    <t>dk;kZy; dk uke %</t>
  </si>
  <si>
    <t>dkfeZd dk uke %</t>
  </si>
  <si>
    <t>cSad [kkrk la[;k %</t>
  </si>
  <si>
    <t>GPF / PRAN No. :</t>
  </si>
  <si>
    <t>SI Number :</t>
  </si>
  <si>
    <t>jkT; chek ekfld dVkSrh %</t>
  </si>
  <si>
    <t>D;k vkidks cksul feyk gS \</t>
  </si>
  <si>
    <t xml:space="preserve">Rate of HRA : </t>
  </si>
  <si>
    <t>D;k vki ofj"B ukxfjd ¼60&amp;80 vk;qoxZ½ esa vkrs gS \</t>
  </si>
  <si>
    <t>lefZiZr fcy dk ekg %</t>
  </si>
  <si>
    <r>
      <t xml:space="preserve">dk;kZy; dk </t>
    </r>
    <r>
      <rPr>
        <b/>
        <sz val="12"/>
        <rFont val="Calibri"/>
        <family val="2"/>
        <scheme val="minor"/>
      </rPr>
      <t>TAN</t>
    </r>
    <r>
      <rPr>
        <b/>
        <sz val="14"/>
        <rFont val="DevLys 010"/>
      </rPr>
      <t xml:space="preserve"> %</t>
    </r>
  </si>
  <si>
    <r>
      <t xml:space="preserve">dkfeZd dk </t>
    </r>
    <r>
      <rPr>
        <b/>
        <sz val="12"/>
        <rFont val="Calibri"/>
        <family val="2"/>
        <scheme val="minor"/>
      </rPr>
      <t>PAN</t>
    </r>
    <r>
      <rPr>
        <b/>
        <sz val="14"/>
        <rFont val="DevLys 010"/>
      </rPr>
      <t xml:space="preserve"> %</t>
    </r>
  </si>
  <si>
    <t>Principal, Govt. Sr. Secondary School Todaraisingh (Tonk)</t>
  </si>
  <si>
    <t>dkfZeZd dh Js.kh %</t>
  </si>
  <si>
    <t>MASTER DATA</t>
  </si>
  <si>
    <t>lHkh ihys lsy vo'; HkjsaA</t>
  </si>
  <si>
    <t>SI ARREAR</t>
  </si>
  <si>
    <t>State Service</t>
  </si>
  <si>
    <t>lsok dk uke ¼dSMj@laoxZ½ %</t>
  </si>
  <si>
    <t>CM Corona Relief</t>
  </si>
  <si>
    <t>Basic March 2020</t>
  </si>
  <si>
    <t>D;k vkius o"kZ 2019&amp;20 esa lefZiZr fy;k gS \</t>
  </si>
  <si>
    <t>D;k vkius o"kZ 2020&amp;21 esa lefZiZr fy;k gS \</t>
  </si>
  <si>
    <t xml:space="preserve">      Post :</t>
  </si>
  <si>
    <t>vk;dj x.kuk izi= o"kZ 2020&amp;2021 ¼dj fu/kkZj.k o"kZ 2021&amp;2022½</t>
  </si>
  <si>
    <t>vk; %  o"kZ&amp;2020&amp;21 esa izkIr dqy osru ¼ dj ;ksX; lqfo/kkvksa ds eqY; lfgr ½</t>
  </si>
  <si>
    <t>flrEcj 2020
rd  :i;s</t>
  </si>
  <si>
    <t>tuojh 2021
:i;s</t>
  </si>
  <si>
    <t>Qjojh 2021
:i;s</t>
  </si>
  <si>
    <t>vDVwcj ls fnlEcj
2020 :i;s</t>
  </si>
  <si>
    <r>
      <t xml:space="preserve">ljdkjh isa'ku ;kstuk esa va'knku </t>
    </r>
    <r>
      <rPr>
        <sz val="12"/>
        <rFont val="Calibri"/>
        <family val="2"/>
      </rPr>
      <t>ECPF</t>
    </r>
    <r>
      <rPr>
        <sz val="12"/>
        <rFont val="DevLys 010"/>
      </rPr>
      <t xml:space="preserve">
vf/kdre osru dk 10</t>
    </r>
    <r>
      <rPr>
        <sz val="12"/>
        <rFont val="Arial"/>
        <family val="2"/>
      </rPr>
      <t xml:space="preserve">% </t>
    </r>
    <r>
      <rPr>
        <sz val="12"/>
        <rFont val="DevLys 010"/>
      </rPr>
      <t xml:space="preserve">/kkjk </t>
    </r>
    <r>
      <rPr>
        <sz val="12"/>
        <rFont val="Calibri"/>
        <family val="2"/>
        <scheme val="minor"/>
      </rPr>
      <t>80CCD(1)</t>
    </r>
  </si>
  <si>
    <t>Old Tax Regime</t>
  </si>
  <si>
    <t>Surrender 
2020-21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</si>
  <si>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>/kkjk</t>
    </r>
    <r>
      <rPr>
        <sz val="10"/>
        <rFont val="Calibri"/>
        <family val="2"/>
        <scheme val="minor"/>
      </rPr>
      <t xml:space="preserve">  US 80C, 80CCC,80CCD (1) </t>
    </r>
    <r>
      <rPr>
        <sz val="12"/>
        <rFont val="DevLys 010"/>
      </rPr>
      <t xml:space="preserve">vf/kdre dVkSrh dh jkf'k </t>
    </r>
  </si>
  <si>
    <t>?kVkb;s dVkSSfr;k¡ %&amp;</t>
  </si>
  <si>
    <t>,d O;fDr dj nkrk ¼vk;q 60 o"kZ rd½</t>
  </si>
  <si>
    <r>
      <t xml:space="preserve">2,50,000  </t>
    </r>
    <r>
      <rPr>
        <sz val="11"/>
        <rFont val="DevLys 010"/>
      </rPr>
      <t>rd</t>
    </r>
  </si>
  <si>
    <t>5,00,001-7,50,000</t>
  </si>
  <si>
    <t>7,50,001 - 10,00,000</t>
  </si>
  <si>
    <t>10,00,001 - 12,50,000</t>
  </si>
  <si>
    <t>12,50,001 - 15,00,000</t>
  </si>
  <si>
    <r>
      <t xml:space="preserve">15,00,000 </t>
    </r>
    <r>
      <rPr>
        <sz val="11"/>
        <rFont val="DevLys 010"/>
      </rPr>
      <t>ls vf/kd</t>
    </r>
  </si>
  <si>
    <t>dqy ;ksx 12 ¼ 1 ls 9 rd ½</t>
  </si>
  <si>
    <t>NO</t>
  </si>
  <si>
    <t>Bonus 19-20</t>
  </si>
  <si>
    <t>Qjojh 2020 dk ewy osru %</t>
  </si>
  <si>
    <r>
      <t xml:space="preserve">D;k vki </t>
    </r>
    <r>
      <rPr>
        <b/>
        <sz val="12"/>
        <color rgb="FFFF0000"/>
        <rFont val="Calibri"/>
        <family val="2"/>
        <scheme val="minor"/>
      </rPr>
      <t xml:space="preserve">NPS Employee </t>
    </r>
    <r>
      <rPr>
        <b/>
        <sz val="14"/>
        <color rgb="FFFF0000"/>
        <rFont val="DevLys 010"/>
      </rPr>
      <t>gS \</t>
    </r>
  </si>
  <si>
    <t>Salary Arrear 3</t>
  </si>
  <si>
    <t>AAAAXXXXXA</t>
  </si>
  <si>
    <t>9XXXXXXXX1</t>
  </si>
  <si>
    <t>AAAAAXXXXA</t>
  </si>
  <si>
    <t>74XXX7</t>
  </si>
  <si>
    <t>84XXX8</t>
  </si>
  <si>
    <r>
      <rPr>
        <sz val="12"/>
        <rFont val="Calibri"/>
        <family val="2"/>
        <scheme val="minor"/>
      </rPr>
      <t xml:space="preserve">NPS Employee </t>
    </r>
    <r>
      <rPr>
        <sz val="14"/>
        <rFont val="DevLys 010"/>
      </rPr>
      <t xml:space="preserve">ds fy, </t>
    </r>
    <r>
      <rPr>
        <sz val="12"/>
        <rFont val="Calibri"/>
        <family val="2"/>
        <scheme val="minor"/>
      </rPr>
      <t xml:space="preserve">Computation Sheet </t>
    </r>
    <r>
      <rPr>
        <sz val="14"/>
        <rFont val="DevLys 010"/>
      </rPr>
      <t>dh</t>
    </r>
    <r>
      <rPr>
        <sz val="12"/>
        <rFont val="Calibri"/>
        <family val="2"/>
        <scheme val="minor"/>
      </rPr>
      <t xml:space="preserve"> Gross Salary </t>
    </r>
    <r>
      <rPr>
        <sz val="14"/>
        <rFont val="DevLys 010"/>
      </rPr>
      <t>esa</t>
    </r>
    <r>
      <rPr>
        <sz val="12"/>
        <rFont val="Calibri"/>
        <family val="2"/>
        <scheme val="minor"/>
      </rPr>
      <t xml:space="preserve">  Govt. Contribution Fund </t>
    </r>
    <r>
      <rPr>
        <sz val="14"/>
        <rFont val="DevLys 010"/>
      </rPr>
      <t xml:space="preserve"> dh jkf'k tksM+h x;h gSA</t>
    </r>
  </si>
  <si>
    <t>Master Sheet</t>
  </si>
  <si>
    <r>
      <t xml:space="preserve">is eSustj ls th-,- 55 fudkydj vFkok is iksfLVax ls </t>
    </r>
    <r>
      <rPr>
        <sz val="12"/>
        <rFont val="Calibri"/>
        <family val="2"/>
        <scheme val="minor"/>
      </rPr>
      <t xml:space="preserve">Gross Salary, Total Deduction, Net Payment </t>
    </r>
    <r>
      <rPr>
        <sz val="14"/>
        <rFont val="DevLys 010"/>
      </rPr>
      <t>dk feyku dj ysosaA vUrj vkus ij esU;wvy :Ik ls MkVk cny ysaA</t>
    </r>
  </si>
  <si>
    <t>Computation Sheet (Old / New Tax Regime)</t>
  </si>
  <si>
    <r>
      <t xml:space="preserve">;g odZcqd jktLFkku ds f'k{kdksa dh mi;ksfxrk ds fy, rS;kj dh xbZ gSA ladyu ,oa x.kuk esa iw.kZ lko/kkuh j[kh xbZ gSA fQj Hkh =qfV @ fdlh Hkh izdkj dh fofHkUurk dh fLFkfr esa vk;dj foHkkx ds fu;e gh ekU; gSA rS;kjdrkZ dk dksbZ mRrjnkf;Ro ugha gksxkA =qfV @ lq&gt;ko ds fy, </t>
    </r>
    <r>
      <rPr>
        <b/>
        <sz val="12"/>
        <color theme="7"/>
        <rFont val="Calibri"/>
        <family val="2"/>
        <scheme val="minor"/>
      </rPr>
      <t>cpkurmi@gmail.com</t>
    </r>
    <r>
      <rPr>
        <b/>
        <i/>
        <sz val="12"/>
        <color theme="7"/>
        <rFont val="Times New Roman"/>
        <family val="1"/>
      </rPr>
      <t xml:space="preserve"> </t>
    </r>
    <r>
      <rPr>
        <b/>
        <sz val="14"/>
        <color theme="7"/>
        <rFont val="DevLys 010"/>
      </rPr>
      <t>ij bZesy djsaA</t>
    </r>
  </si>
  <si>
    <t xml:space="preserve"> is ysoy %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</si>
  <si>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</si>
  <si>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</si>
  <si>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</si>
  <si>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</si>
  <si>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</si>
  <si>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</si>
  <si>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</si>
  <si>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</si>
  <si>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</si>
  <si>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</si>
  <si>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</si>
  <si>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</si>
  <si>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</si>
  <si>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</si>
  <si>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</si>
  <si>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</si>
  <si>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</si>
  <si>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</si>
  <si>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</si>
  <si>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</si>
  <si>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</si>
  <si>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L-22</t>
  </si>
  <si>
    <t>L-23</t>
  </si>
  <si>
    <t>L-24</t>
  </si>
  <si>
    <t>L-25</t>
  </si>
  <si>
    <t>L-26</t>
  </si>
  <si>
    <r>
      <t xml:space="preserve">GA55A Sheet </t>
    </r>
    <r>
      <rPr>
        <sz val="14"/>
        <rFont val="DevLys 010"/>
      </rPr>
      <t xml:space="preserve">esa </t>
    </r>
    <r>
      <rPr>
        <sz val="12"/>
        <rFont val="Calibri"/>
        <family val="2"/>
        <scheme val="minor"/>
      </rPr>
      <t xml:space="preserve">Other Allowance/ Other Deduction </t>
    </r>
    <r>
      <rPr>
        <sz val="14"/>
        <rFont val="DevLys 010"/>
      </rPr>
      <t xml:space="preserve">ds lsy </t>
    </r>
    <r>
      <rPr>
        <sz val="12"/>
        <rFont val="Calibri"/>
        <family val="2"/>
        <scheme val="minor"/>
      </rPr>
      <t>Unlock</t>
    </r>
    <r>
      <rPr>
        <sz val="14"/>
        <rFont val="DevLys 010"/>
      </rPr>
      <t xml:space="preserve"> gS] budk uke ifjofrZr fd;k tk ldrk gSA</t>
    </r>
  </si>
  <si>
    <r>
      <t xml:space="preserve">vkius </t>
    </r>
    <r>
      <rPr>
        <sz val="12"/>
        <rFont val="Calibri"/>
        <family val="2"/>
        <scheme val="minor"/>
      </rPr>
      <t>GA55A Sheet</t>
    </r>
    <r>
      <rPr>
        <sz val="14"/>
        <rFont val="DevLys 010"/>
      </rPr>
      <t xml:space="preserve"> esa </t>
    </r>
    <r>
      <rPr>
        <sz val="12"/>
        <rFont val="Calibri"/>
        <family val="2"/>
        <scheme val="minor"/>
      </rPr>
      <t xml:space="preserve">Copy/ Paste, delete </t>
    </r>
    <r>
      <rPr>
        <sz val="14"/>
        <rFont val="DevLys 010"/>
      </rPr>
      <t>dk iz;ksx fd;k gS rks vxys dkfeZd ds fy, Ýs'k 'khV dke esa ysaA</t>
    </r>
  </si>
  <si>
    <t>ekLVj 'khV esa lHkh ihys lsy dh iwfrZ vo'; djsaA</t>
  </si>
  <si>
    <r>
      <t>;g odZcqd</t>
    </r>
    <r>
      <rPr>
        <b/>
        <i/>
        <sz val="14"/>
        <color rgb="FF0000FF"/>
        <rFont val="Times New Roman"/>
        <family val="1"/>
      </rPr>
      <t xml:space="preserve"> </t>
    </r>
    <r>
      <rPr>
        <b/>
        <i/>
        <sz val="14"/>
        <color rgb="FFFF0000"/>
        <rFont val="Times New Roman"/>
        <family val="1"/>
      </rPr>
      <t>www.rssrashtriya.org</t>
    </r>
    <r>
      <rPr>
        <b/>
        <i/>
        <sz val="14"/>
        <color theme="9" tint="-0.249977111117893"/>
        <rFont val="Times New Roman"/>
        <family val="1"/>
      </rPr>
      <t xml:space="preserve"> </t>
    </r>
    <r>
      <rPr>
        <b/>
        <sz val="16"/>
        <color rgb="FF0000FF"/>
        <rFont val="DevLys 010"/>
      </rPr>
      <t xml:space="preserve">ij miyC/k gSA
lkHkkj % pUnz izdk'k dqehZ] izk/;kid HkkSfrdh] jk-m-ek-fo- VksMkjk;flag ¼Vksad½ 
</t>
    </r>
    <r>
      <rPr>
        <b/>
        <sz val="14"/>
        <rFont val="DevLys 010"/>
      </rPr>
      <t xml:space="preserve">fdlh Hkh izdkj dh rduhdh leL;k@lq&gt;ko ds fy, bZesy djsa&amp; </t>
    </r>
    <r>
      <rPr>
        <b/>
        <i/>
        <sz val="14"/>
        <rFont val="Times New Roman"/>
        <family val="1"/>
      </rPr>
      <t xml:space="preserve">cpkurmi@gmail.com 
</t>
    </r>
    <r>
      <rPr>
        <b/>
        <sz val="14"/>
        <rFont val="DevLys 010"/>
      </rPr>
      <t/>
    </r>
  </si>
  <si>
    <t>SEP</t>
  </si>
  <si>
    <t>OCT</t>
  </si>
  <si>
    <t>NOV</t>
  </si>
  <si>
    <t>DEC</t>
  </si>
  <si>
    <t>JAN</t>
  </si>
  <si>
    <t>FAR</t>
  </si>
  <si>
    <t>Hitkari Nidhi</t>
  </si>
  <si>
    <t>NA</t>
  </si>
  <si>
    <t>9XXXXXXXXXXXXX9</t>
  </si>
  <si>
    <t>Other Deduction 1</t>
  </si>
  <si>
    <t>Other Deduction 2</t>
  </si>
  <si>
    <t>6- x`g _.k fdLr ewy/ku</t>
  </si>
  <si>
    <t>7- x`g _.k fdLr C;kt</t>
  </si>
  <si>
    <t>क्या आप मार्च 2020 के आस्थगित (defer) वेतन को इसी वित्तीय वर्ष में जोड़ना चाहते हैं | YES / NO चुनें</t>
  </si>
  <si>
    <t>YES</t>
  </si>
  <si>
    <t>Defer Salary
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</si>
</sst>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3" x14ac:knownFonts="1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color theme="0"/>
      <name val="DevLys 010"/>
    </font>
    <font>
      <sz val="13"/>
      <color theme="0"/>
      <name val="Calibri"/>
      <family val="2"/>
      <scheme val="minor"/>
    </font>
    <font>
      <sz val="11"/>
      <name val="DevLys 010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6"/>
      <name val="DevLys 010"/>
    </font>
    <font>
      <b/>
      <sz val="16"/>
      <name val="Times New Roman"/>
      <family val="1"/>
    </font>
    <font>
      <sz val="15"/>
      <name val="DevLys 010"/>
    </font>
    <font>
      <sz val="13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sz val="14"/>
      <name val="DevLys 010"/>
    </font>
    <font>
      <b/>
      <sz val="10"/>
      <color rgb="FF0000FF"/>
      <name val="Calibri"/>
      <family val="2"/>
      <scheme val="minor"/>
    </font>
    <font>
      <sz val="19"/>
      <name val="Times New Roman"/>
      <family val="1"/>
    </font>
    <font>
      <b/>
      <sz val="11"/>
      <name val="DevLys 010"/>
    </font>
    <font>
      <b/>
      <sz val="14"/>
      <name val="Calibri"/>
      <family val="2"/>
      <scheme val="minor"/>
    </font>
    <font>
      <sz val="18"/>
      <color theme="0"/>
      <name val="DevLys 010"/>
    </font>
    <font>
      <sz val="14"/>
      <color theme="0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b/>
      <sz val="20"/>
      <color theme="0"/>
      <name val="DevLys 010"/>
    </font>
    <font>
      <b/>
      <sz val="16"/>
      <name val="Calibri"/>
      <family val="2"/>
      <scheme val="minor"/>
    </font>
    <font>
      <b/>
      <i/>
      <sz val="14"/>
      <name val="Times New Roman"/>
      <family val="1"/>
    </font>
    <font>
      <b/>
      <sz val="16"/>
      <color rgb="FF0000FF"/>
      <name val="DevLys 010"/>
    </font>
    <font>
      <b/>
      <sz val="14"/>
      <color rgb="FF0000FF"/>
      <name val="DevLys 010"/>
    </font>
    <font>
      <b/>
      <i/>
      <sz val="14"/>
      <color rgb="FF0000FF"/>
      <name val="Times New Roman"/>
      <family val="1"/>
    </font>
    <font>
      <b/>
      <sz val="18"/>
      <name val="DevLys 010"/>
    </font>
    <font>
      <b/>
      <sz val="18"/>
      <name val="Calibri"/>
      <family val="2"/>
      <scheme val="minor"/>
    </font>
    <font>
      <sz val="14"/>
      <name val="Times New Roman"/>
      <family val="1"/>
    </font>
    <font>
      <sz val="9"/>
      <name val="DevLys 010 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i/>
      <sz val="16"/>
      <color rgb="FFFFFF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color rgb="FF0000FF"/>
      <name val="Times New Roman"/>
      <family val="1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22"/>
      <name val="Calibri"/>
      <family val="2"/>
      <scheme val="minor"/>
    </font>
    <font>
      <b/>
      <sz val="18"/>
      <color rgb="FFFF0000"/>
      <name val="DevLys 010"/>
    </font>
    <font>
      <b/>
      <sz val="13"/>
      <name val="Calibri"/>
      <family val="2"/>
      <scheme val="minor"/>
    </font>
    <font>
      <sz val="12"/>
      <name val="Calibri"/>
      <family val="2"/>
    </font>
    <font>
      <b/>
      <i/>
      <sz val="14"/>
      <color rgb="FFFF000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2.5"/>
      <name val="Calibri"/>
      <family val="2"/>
      <scheme val="minor"/>
    </font>
    <font>
      <b/>
      <sz val="14"/>
      <color rgb="FFFF0000"/>
      <name val="DevLys 010"/>
    </font>
    <font>
      <b/>
      <sz val="12"/>
      <color rgb="FFFF0000"/>
      <name val="Calibri"/>
      <family val="2"/>
      <scheme val="minor"/>
    </font>
    <font>
      <i/>
      <sz val="10"/>
      <name val="Arial"/>
      <family val="2"/>
    </font>
    <font>
      <b/>
      <i/>
      <sz val="14"/>
      <name val="Calibri"/>
      <family val="2"/>
      <scheme val="minor"/>
    </font>
    <font>
      <i/>
      <sz val="14"/>
      <name val="DevLys 010"/>
    </font>
    <font>
      <sz val="10"/>
      <color theme="4" tint="-0.249977111117893"/>
      <name val="Arial"/>
      <family val="2"/>
    </font>
    <font>
      <b/>
      <sz val="14"/>
      <color theme="7"/>
      <name val="DevLys 010"/>
    </font>
    <font>
      <b/>
      <i/>
      <sz val="12"/>
      <color theme="7"/>
      <name val="Times New Roman"/>
      <family val="1"/>
    </font>
    <font>
      <b/>
      <sz val="12"/>
      <color theme="7"/>
      <name val="Calibri"/>
      <family val="2"/>
      <scheme val="minor"/>
    </font>
    <font>
      <b/>
      <i/>
      <sz val="14"/>
      <color theme="9" tint="-0.249977111117893"/>
      <name val="Times New Roman"/>
      <family val="1"/>
    </font>
    <font>
      <b/>
      <sz val="18"/>
      <color rgb="FF0066FF"/>
      <name val="Arial"/>
      <family val="2"/>
    </font>
    <font>
      <b/>
      <sz val="20"/>
      <color rgb="FFFF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2E21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80" fillId="0" borderId="0" applyFont="0" applyFill="0" applyBorder="0" applyAlignment="0" applyProtection="0"/>
  </cellStyleXfs>
  <cellXfs count="423">
    <xf numFmtId="0" fontId="0" fillId="0" borderId="0" xfId="0"/>
    <xf numFmtId="2" fontId="1" fillId="0" borderId="0" xfId="0" applyNumberFormat="1" applyFont="1" applyBorder="1" applyAlignment="1"/>
    <xf numFmtId="2" fontId="8" fillId="24" borderId="0" xfId="0" applyNumberFormat="1" applyFont="1" applyFill="1" applyBorder="1" applyAlignment="1">
      <alignment horizontal="left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9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8" fillId="0" borderId="0" xfId="37" applyFont="1" applyBorder="1"/>
    <xf numFmtId="0" fontId="27" fillId="0" borderId="0" xfId="37" applyFont="1" applyBorder="1" applyAlignment="1">
      <alignment horizontal="right"/>
    </xf>
    <xf numFmtId="0" fontId="28" fillId="0" borderId="0" xfId="37" applyFont="1" applyBorder="1" applyAlignment="1">
      <alignment horizontal="right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0" fontId="0" fillId="0" borderId="0" xfId="0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 textRotation="90"/>
    </xf>
    <xf numFmtId="0" fontId="32" fillId="0" borderId="10" xfId="37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vertical="top"/>
    </xf>
    <xf numFmtId="0" fontId="1" fillId="0" borderId="22" xfId="37" applyFont="1" applyBorder="1" applyAlignment="1">
      <alignment horizontal="center" vertical="center"/>
    </xf>
    <xf numFmtId="0" fontId="2" fillId="0" borderId="21" xfId="37" applyFont="1" applyBorder="1" applyAlignment="1">
      <alignment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3" fillId="0" borderId="32" xfId="37" applyFont="1" applyBorder="1" applyAlignment="1">
      <alignment horizontal="right" vertical="center"/>
    </xf>
    <xf numFmtId="0" fontId="30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2" fillId="0" borderId="0" xfId="37" applyNumberFormat="1" applyFont="1" applyBorder="1" applyAlignment="1">
      <alignment horizontal="right" vertical="center"/>
    </xf>
    <xf numFmtId="0" fontId="5" fillId="28" borderId="0" xfId="0" applyNumberFormat="1" applyFont="1" applyFill="1" applyBorder="1" applyAlignment="1">
      <alignment horizontal="left" vertical="top"/>
    </xf>
    <xf numFmtId="0" fontId="44" fillId="28" borderId="0" xfId="0" applyNumberFormat="1" applyFont="1" applyFill="1" applyBorder="1" applyAlignment="1">
      <alignment horizontal="left" vertical="top"/>
    </xf>
    <xf numFmtId="0" fontId="43" fillId="28" borderId="0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NumberFormat="1" applyFont="1" applyFill="1" applyBorder="1" applyAlignment="1">
      <alignment horizontal="left" vertical="top" indent="1"/>
    </xf>
    <xf numFmtId="0" fontId="49" fillId="28" borderId="0" xfId="0" applyNumberFormat="1" applyFont="1" applyFill="1" applyBorder="1" applyAlignment="1">
      <alignment horizontal="center"/>
    </xf>
    <xf numFmtId="0" fontId="42" fillId="28" borderId="0" xfId="0" applyNumberFormat="1" applyFont="1" applyFill="1" applyBorder="1" applyAlignment="1">
      <alignment horizontal="left" vertical="top"/>
    </xf>
    <xf numFmtId="0" fontId="26" fillId="28" borderId="0" xfId="0" applyNumberFormat="1" applyFont="1" applyFill="1" applyBorder="1" applyAlignment="1" applyProtection="1">
      <alignment horizontal="center" vertical="center"/>
      <protection locked="0"/>
    </xf>
    <xf numFmtId="0" fontId="5" fillId="28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8" fillId="24" borderId="0" xfId="0" applyNumberFormat="1" applyFont="1" applyFill="1" applyBorder="1" applyAlignment="1">
      <alignment horizontal="left" indent="2"/>
    </xf>
    <xf numFmtId="0" fontId="29" fillId="28" borderId="0" xfId="0" applyNumberFormat="1" applyFont="1" applyFill="1" applyBorder="1" applyAlignment="1">
      <alignment vertical="top"/>
    </xf>
    <xf numFmtId="0" fontId="33" fillId="28" borderId="0" xfId="0" applyNumberFormat="1" applyFont="1" applyFill="1" applyBorder="1" applyAlignment="1">
      <alignment vertical="center"/>
    </xf>
    <xf numFmtId="0" fontId="39" fillId="28" borderId="0" xfId="0" applyNumberFormat="1" applyFont="1" applyFill="1" applyBorder="1" applyAlignment="1">
      <alignment horizontal="center" vertical="center" textRotation="90"/>
    </xf>
    <xf numFmtId="0" fontId="4" fillId="28" borderId="0" xfId="0" applyNumberFormat="1" applyFont="1" applyFill="1" applyBorder="1" applyAlignment="1">
      <alignment vertical="top" textRotation="90"/>
    </xf>
    <xf numFmtId="0" fontId="0" fillId="28" borderId="0" xfId="0" applyFill="1"/>
    <xf numFmtId="0" fontId="1" fillId="28" borderId="0" xfId="37" applyFont="1" applyFill="1"/>
    <xf numFmtId="0" fontId="28" fillId="28" borderId="0" xfId="37" applyFont="1" applyFill="1"/>
    <xf numFmtId="0" fontId="27" fillId="28" borderId="0" xfId="37" applyFont="1" applyFill="1" applyAlignment="1">
      <alignment horizontal="right"/>
    </xf>
    <xf numFmtId="0" fontId="28" fillId="28" borderId="0" xfId="37" applyFont="1" applyFill="1" applyAlignment="1">
      <alignment horizontal="right"/>
    </xf>
    <xf numFmtId="2" fontId="55" fillId="33" borderId="0" xfId="0" applyNumberFormat="1" applyFont="1" applyFill="1" applyBorder="1" applyAlignment="1">
      <alignment horizontal="left" vertical="center" indent="1"/>
    </xf>
    <xf numFmtId="2" fontId="55" fillId="33" borderId="0" xfId="0" applyNumberFormat="1" applyFont="1" applyFill="1" applyBorder="1" applyAlignment="1">
      <alignment horizontal="left" indent="1"/>
    </xf>
    <xf numFmtId="1" fontId="32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2" fontId="55" fillId="36" borderId="0" xfId="0" applyNumberFormat="1" applyFont="1" applyFill="1" applyBorder="1" applyAlignment="1">
      <alignment horizontal="left" indent="1"/>
    </xf>
    <xf numFmtId="2" fontId="31" fillId="36" borderId="0" xfId="0" applyNumberFormat="1" applyFont="1" applyFill="1" applyBorder="1" applyAlignment="1" applyProtection="1">
      <alignment horizontal="left"/>
    </xf>
    <xf numFmtId="2" fontId="8" fillId="24" borderId="17" xfId="0" applyNumberFormat="1" applyFont="1" applyFill="1" applyBorder="1" applyAlignment="1">
      <alignment horizontal="left"/>
    </xf>
    <xf numFmtId="2" fontId="69" fillId="0" borderId="10" xfId="37" applyNumberFormat="1" applyFont="1" applyBorder="1" applyAlignment="1">
      <alignment horizontal="center" vertical="center"/>
    </xf>
    <xf numFmtId="0" fontId="2" fillId="0" borderId="10" xfId="37" applyFont="1" applyBorder="1" applyAlignment="1">
      <alignment horizontal="right" vertical="center"/>
    </xf>
    <xf numFmtId="2" fontId="8" fillId="36" borderId="17" xfId="0" applyNumberFormat="1" applyFont="1" applyFill="1" applyBorder="1" applyAlignment="1">
      <alignment horizontal="left"/>
    </xf>
    <xf numFmtId="2" fontId="8" fillId="36" borderId="0" xfId="0" applyNumberFormat="1" applyFont="1" applyFill="1" applyBorder="1" applyAlignment="1">
      <alignment horizontal="left"/>
    </xf>
    <xf numFmtId="2" fontId="55" fillId="36" borderId="0" xfId="0" applyNumberFormat="1" applyFont="1" applyFill="1" applyBorder="1" applyAlignment="1">
      <alignment horizontal="left" vertical="center" indent="1"/>
    </xf>
    <xf numFmtId="2" fontId="55" fillId="36" borderId="0" xfId="0" applyNumberFormat="1" applyFont="1" applyFill="1" applyBorder="1" applyAlignment="1">
      <alignment horizontal="left" wrapText="1" indent="1"/>
    </xf>
    <xf numFmtId="2" fontId="32" fillId="0" borderId="0" xfId="0" applyNumberFormat="1" applyFont="1" applyBorder="1" applyAlignment="1"/>
    <xf numFmtId="1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 vertical="center"/>
    </xf>
    <xf numFmtId="2" fontId="35" fillId="0" borderId="10" xfId="37" applyNumberFormat="1" applyFont="1" applyBorder="1" applyAlignment="1">
      <alignment horizontal="center" vertical="center"/>
    </xf>
    <xf numFmtId="2" fontId="35" fillId="27" borderId="10" xfId="37" applyNumberFormat="1" applyFont="1" applyFill="1" applyBorder="1" applyAlignment="1">
      <alignment horizontal="center" vertical="center"/>
    </xf>
    <xf numFmtId="0" fontId="32" fillId="0" borderId="0" xfId="0" applyFont="1"/>
    <xf numFmtId="0" fontId="54" fillId="0" borderId="0" xfId="0" applyFont="1" applyAlignment="1">
      <alignment horizontal="right" indent="1"/>
    </xf>
    <xf numFmtId="0" fontId="32" fillId="0" borderId="0" xfId="0" applyFont="1" applyAlignment="1">
      <alignment horizontal="right"/>
    </xf>
    <xf numFmtId="0" fontId="47" fillId="39" borderId="10" xfId="0" applyFont="1" applyFill="1" applyBorder="1" applyAlignment="1">
      <alignment horizontal="right" vertical="center" indent="1"/>
    </xf>
    <xf numFmtId="0" fontId="81" fillId="39" borderId="10" xfId="0" applyFont="1" applyFill="1" applyBorder="1" applyAlignment="1">
      <alignment horizontal="right" vertical="center" indent="1"/>
    </xf>
    <xf numFmtId="0" fontId="47" fillId="39" borderId="10" xfId="0" applyFont="1" applyFill="1" applyBorder="1" applyAlignment="1">
      <alignment horizontal="right"/>
    </xf>
    <xf numFmtId="3" fontId="81" fillId="37" borderId="10" xfId="0" applyNumberFormat="1" applyFont="1" applyFill="1" applyBorder="1" applyAlignment="1" applyProtection="1">
      <alignment horizontal="left" vertical="center" indent="1"/>
      <protection locked="0"/>
    </xf>
    <xf numFmtId="0" fontId="39" fillId="28" borderId="0" xfId="0" applyNumberFormat="1" applyFont="1" applyFill="1" applyBorder="1" applyAlignment="1">
      <alignment horizontal="center" textRotation="90" wrapText="1"/>
    </xf>
    <xf numFmtId="0" fontId="39" fillId="0" borderId="0" xfId="0" applyNumberFormat="1" applyFont="1" applyFill="1" applyBorder="1" applyAlignment="1">
      <alignment horizontal="center" textRotation="90" wrapText="1"/>
    </xf>
    <xf numFmtId="2" fontId="1" fillId="39" borderId="0" xfId="0" applyNumberFormat="1" applyFont="1" applyFill="1" applyBorder="1" applyAlignment="1"/>
    <xf numFmtId="2" fontId="1" fillId="39" borderId="0" xfId="0" applyNumberFormat="1" applyFont="1" applyFill="1" applyBorder="1" applyAlignment="1">
      <alignment vertical="center"/>
    </xf>
    <xf numFmtId="2" fontId="32" fillId="39" borderId="0" xfId="0" applyNumberFormat="1" applyFont="1" applyFill="1" applyBorder="1" applyAlignment="1"/>
    <xf numFmtId="2" fontId="55" fillId="36" borderId="38" xfId="0" applyNumberFormat="1" applyFont="1" applyFill="1" applyBorder="1" applyAlignment="1">
      <alignment horizontal="left" indent="1"/>
    </xf>
    <xf numFmtId="1" fontId="3" fillId="25" borderId="39" xfId="0" applyNumberFormat="1" applyFont="1" applyFill="1" applyBorder="1" applyAlignment="1">
      <alignment horizontal="center" vertical="center"/>
    </xf>
    <xf numFmtId="2" fontId="55" fillId="33" borderId="38" xfId="0" applyNumberFormat="1" applyFont="1" applyFill="1" applyBorder="1" applyAlignment="1">
      <alignment horizontal="left" vertical="center" wrapText="1" indent="1"/>
    </xf>
    <xf numFmtId="1" fontId="3" fillId="26" borderId="39" xfId="0" applyNumberFormat="1" applyFont="1" applyFill="1" applyBorder="1" applyAlignment="1">
      <alignment horizontal="center" vertical="center"/>
    </xf>
    <xf numFmtId="2" fontId="55" fillId="33" borderId="38" xfId="0" applyNumberFormat="1" applyFont="1" applyFill="1" applyBorder="1" applyAlignment="1">
      <alignment horizontal="left" vertical="center" indent="1"/>
    </xf>
    <xf numFmtId="2" fontId="55" fillId="33" borderId="38" xfId="0" applyNumberFormat="1" applyFont="1" applyFill="1" applyBorder="1" applyAlignment="1">
      <alignment horizontal="left" indent="1"/>
    </xf>
    <xf numFmtId="2" fontId="3" fillId="32" borderId="39" xfId="0" applyNumberFormat="1" applyFont="1" applyFill="1" applyBorder="1" applyAlignment="1">
      <alignment horizontal="center" vertical="center"/>
    </xf>
    <xf numFmtId="1" fontId="3" fillId="31" borderId="39" xfId="0" applyNumberFormat="1" applyFont="1" applyFill="1" applyBorder="1" applyAlignment="1">
      <alignment horizontal="center" vertical="center"/>
    </xf>
    <xf numFmtId="2" fontId="8" fillId="24" borderId="39" xfId="0" applyNumberFormat="1" applyFont="1" applyFill="1" applyBorder="1" applyAlignment="1">
      <alignment horizontal="left"/>
    </xf>
    <xf numFmtId="0" fontId="70" fillId="0" borderId="0" xfId="37" applyFont="1" applyFill="1" applyAlignment="1">
      <alignment vertical="top"/>
    </xf>
    <xf numFmtId="4" fontId="32" fillId="0" borderId="21" xfId="37" applyNumberFormat="1" applyFont="1" applyBorder="1" applyAlignment="1">
      <alignment horizontal="right" vertical="center" wrapText="1"/>
    </xf>
    <xf numFmtId="0" fontId="26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6" fillId="0" borderId="0" xfId="0" applyNumberFormat="1" applyFont="1" applyFill="1" applyBorder="1" applyAlignment="1">
      <alignment horizontal="center" vertical="top"/>
    </xf>
    <xf numFmtId="0" fontId="47" fillId="39" borderId="22" xfId="0" applyFont="1" applyFill="1" applyBorder="1" applyAlignment="1">
      <alignment horizontal="right" vertical="center" indent="1"/>
    </xf>
    <xf numFmtId="0" fontId="81" fillId="37" borderId="21" xfId="0" applyNumberFormat="1" applyFont="1" applyFill="1" applyBorder="1" applyAlignment="1" applyProtection="1">
      <alignment horizontal="left" vertical="center" indent="1"/>
      <protection locked="0"/>
    </xf>
    <xf numFmtId="0" fontId="31" fillId="39" borderId="22" xfId="0" applyFont="1" applyFill="1" applyBorder="1" applyAlignment="1">
      <alignment horizontal="right" vertical="center" indent="1"/>
    </xf>
    <xf numFmtId="9" fontId="81" fillId="37" borderId="21" xfId="44" applyFont="1" applyFill="1" applyBorder="1" applyAlignment="1" applyProtection="1">
      <alignment horizontal="left" vertical="center" indent="1"/>
      <protection locked="0"/>
    </xf>
    <xf numFmtId="0" fontId="47" fillId="39" borderId="22" xfId="0" applyFont="1" applyFill="1" applyBorder="1" applyAlignment="1">
      <alignment horizontal="right" indent="1"/>
    </xf>
    <xf numFmtId="0" fontId="47" fillId="39" borderId="27" xfId="0" applyFont="1" applyFill="1" applyBorder="1" applyAlignment="1">
      <alignment horizontal="left" indent="1"/>
    </xf>
    <xf numFmtId="0" fontId="81" fillId="37" borderId="28" xfId="0" applyFont="1" applyFill="1" applyBorder="1" applyAlignment="1" applyProtection="1">
      <alignment horizontal="left" vertical="center" indent="1"/>
      <protection locked="0"/>
    </xf>
    <xf numFmtId="0" fontId="47" fillId="39" borderId="28" xfId="0" applyFont="1" applyFill="1" applyBorder="1" applyAlignment="1">
      <alignment horizontal="right" vertical="center" indent="1"/>
    </xf>
    <xf numFmtId="0" fontId="81" fillId="39" borderId="29" xfId="0" applyFont="1" applyFill="1" applyBorder="1" applyAlignment="1">
      <alignment horizontal="left" vertical="center" indent="1"/>
    </xf>
    <xf numFmtId="9" fontId="41" fillId="0" borderId="10" xfId="37" applyNumberFormat="1" applyFont="1" applyBorder="1" applyAlignment="1">
      <alignment horizontal="center" vertical="center"/>
    </xf>
    <xf numFmtId="0" fontId="41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right" vertical="center"/>
    </xf>
    <xf numFmtId="0" fontId="1" fillId="0" borderId="28" xfId="37" applyFont="1" applyBorder="1" applyAlignment="1">
      <alignment horizontal="right" vertical="center"/>
    </xf>
    <xf numFmtId="0" fontId="32" fillId="38" borderId="0" xfId="0" applyFont="1" applyFill="1"/>
    <xf numFmtId="0" fontId="31" fillId="38" borderId="10" xfId="0" applyFont="1" applyFill="1" applyBorder="1" applyAlignment="1">
      <alignment horizontal="center" vertical="center"/>
    </xf>
    <xf numFmtId="0" fontId="54" fillId="38" borderId="0" xfId="0" applyFont="1" applyFill="1" applyAlignment="1">
      <alignment horizontal="right" indent="1"/>
    </xf>
    <xf numFmtId="0" fontId="32" fillId="38" borderId="0" xfId="0" applyFont="1" applyFill="1" applyAlignment="1">
      <alignment horizontal="right"/>
    </xf>
    <xf numFmtId="9" fontId="41" fillId="0" borderId="10" xfId="37" applyNumberFormat="1" applyFont="1" applyBorder="1" applyAlignment="1">
      <alignment horizontal="center" vertical="center"/>
    </xf>
    <xf numFmtId="0" fontId="41" fillId="0" borderId="10" xfId="37" applyFont="1" applyBorder="1" applyAlignment="1">
      <alignment horizontal="center" vertical="center"/>
    </xf>
    <xf numFmtId="0" fontId="41" fillId="0" borderId="12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right" vertical="center"/>
    </xf>
    <xf numFmtId="4" fontId="31" fillId="0" borderId="29" xfId="37" applyNumberFormat="1" applyFont="1" applyBorder="1" applyAlignment="1">
      <alignment horizontal="right" vertical="center" wrapText="1"/>
    </xf>
    <xf numFmtId="0" fontId="91" fillId="39" borderId="22" xfId="0" applyFont="1" applyFill="1" applyBorder="1" applyAlignment="1">
      <alignment horizontal="right" indent="1"/>
    </xf>
    <xf numFmtId="0" fontId="93" fillId="0" borderId="0" xfId="0" applyFont="1" applyFill="1" applyAlignment="1">
      <alignment horizontal="center"/>
    </xf>
    <xf numFmtId="0" fontId="34" fillId="0" borderId="0" xfId="0" applyFont="1" applyAlignment="1"/>
    <xf numFmtId="0" fontId="93" fillId="0" borderId="0" xfId="0" applyFont="1"/>
    <xf numFmtId="0" fontId="93" fillId="0" borderId="0" xfId="0" applyFont="1" applyFill="1" applyBorder="1" applyAlignment="1">
      <alignment horizontal="center"/>
    </xf>
    <xf numFmtId="0" fontId="95" fillId="0" borderId="0" xfId="0" applyFont="1"/>
    <xf numFmtId="0" fontId="29" fillId="41" borderId="38" xfId="0" applyFont="1" applyFill="1" applyBorder="1" applyAlignment="1">
      <alignment horizontal="center" vertical="center"/>
    </xf>
    <xf numFmtId="0" fontId="74" fillId="41" borderId="22" xfId="0" applyFont="1" applyFill="1" applyBorder="1" applyAlignment="1">
      <alignment horizontal="center" vertical="top"/>
    </xf>
    <xf numFmtId="0" fontId="74" fillId="41" borderId="22" xfId="0" applyFont="1" applyFill="1" applyBorder="1" applyAlignment="1">
      <alignment horizontal="center"/>
    </xf>
    <xf numFmtId="0" fontId="0" fillId="41" borderId="38" xfId="0" applyFill="1" applyBorder="1" applyAlignment="1">
      <alignment horizontal="center" vertical="top"/>
    </xf>
    <xf numFmtId="0" fontId="29" fillId="41" borderId="22" xfId="0" applyFont="1" applyFill="1" applyBorder="1" applyAlignment="1">
      <alignment horizontal="center" vertical="center"/>
    </xf>
    <xf numFmtId="0" fontId="70" fillId="0" borderId="0" xfId="37" applyFont="1" applyFill="1" applyAlignment="1">
      <alignment vertical="top" wrapText="1"/>
    </xf>
    <xf numFmtId="0" fontId="96" fillId="0" borderId="0" xfId="0" applyFont="1"/>
    <xf numFmtId="3" fontId="69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41" fillId="0" borderId="10" xfId="0" applyNumberFormat="1" applyFont="1" applyFill="1" applyBorder="1" applyAlignment="1" applyProtection="1">
      <alignment horizontal="center" vertical="center"/>
      <protection locked="0" hidden="1"/>
    </xf>
    <xf numFmtId="3" fontId="69" fillId="0" borderId="10" xfId="0" applyNumberFormat="1" applyFont="1" applyFill="1" applyBorder="1" applyAlignment="1" applyProtection="1">
      <alignment horizontal="center" vertical="center"/>
      <protection hidden="1"/>
    </xf>
    <xf numFmtId="3" fontId="41" fillId="0" borderId="10" xfId="0" applyNumberFormat="1" applyFont="1" applyFill="1" applyBorder="1" applyAlignment="1" applyProtection="1">
      <alignment vertical="center"/>
      <protection locked="0"/>
    </xf>
    <xf numFmtId="4" fontId="41" fillId="0" borderId="10" xfId="0" applyNumberFormat="1" applyFont="1" applyFill="1" applyBorder="1" applyAlignment="1" applyProtection="1">
      <alignment horizontal="center" vertical="center"/>
      <protection hidden="1"/>
    </xf>
    <xf numFmtId="4" fontId="69" fillId="0" borderId="10" xfId="0" applyNumberFormat="1" applyFont="1" applyFill="1" applyBorder="1" applyAlignment="1" applyProtection="1">
      <alignment horizontal="center" vertical="center"/>
      <protection hidden="1"/>
    </xf>
    <xf numFmtId="4" fontId="31" fillId="0" borderId="21" xfId="37" applyNumberFormat="1" applyFont="1" applyBorder="1" applyAlignment="1">
      <alignment horizontal="right" vertical="center"/>
    </xf>
    <xf numFmtId="4" fontId="32" fillId="0" borderId="21" xfId="37" applyNumberFormat="1" applyFont="1" applyBorder="1" applyAlignment="1">
      <alignment horizontal="right" vertical="center"/>
    </xf>
    <xf numFmtId="4" fontId="32" fillId="0" borderId="21" xfId="37" applyNumberFormat="1" applyFont="1" applyBorder="1" applyAlignment="1" applyProtection="1">
      <alignment horizontal="right" vertical="center"/>
      <protection hidden="1"/>
    </xf>
    <xf numFmtId="4" fontId="32" fillId="0" borderId="21" xfId="37" applyNumberFormat="1" applyFont="1" applyBorder="1" applyAlignment="1">
      <alignment vertical="center"/>
    </xf>
    <xf numFmtId="4" fontId="34" fillId="0" borderId="21" xfId="37" applyNumberFormat="1" applyFont="1" applyBorder="1" applyAlignment="1">
      <alignment horizontal="right" vertical="center"/>
    </xf>
    <xf numFmtId="4" fontId="32" fillId="0" borderId="21" xfId="37" applyNumberFormat="1" applyFont="1" applyBorder="1" applyAlignment="1">
      <alignment vertical="center" wrapText="1"/>
    </xf>
    <xf numFmtId="4" fontId="31" fillId="0" borderId="29" xfId="37" applyNumberFormat="1" applyFont="1" applyBorder="1" applyAlignment="1">
      <alignment vertical="center" wrapText="1"/>
    </xf>
    <xf numFmtId="4" fontId="31" fillId="36" borderId="0" xfId="0" applyNumberFormat="1" applyFont="1" applyFill="1" applyBorder="1" applyAlignment="1" applyProtection="1">
      <alignment horizontal="right" indent="1"/>
      <protection locked="0"/>
    </xf>
    <xf numFmtId="4" fontId="31" fillId="33" borderId="0" xfId="0" applyNumberFormat="1" applyFont="1" applyFill="1" applyBorder="1" applyAlignment="1" applyProtection="1">
      <alignment horizontal="right" vertical="center" indent="1"/>
      <protection locked="0"/>
    </xf>
    <xf numFmtId="4" fontId="31" fillId="33" borderId="0" xfId="0" applyNumberFormat="1" applyFont="1" applyFill="1" applyBorder="1" applyAlignment="1" applyProtection="1">
      <alignment horizontal="right" indent="1"/>
      <protection locked="0"/>
    </xf>
    <xf numFmtId="4" fontId="31" fillId="36" borderId="19" xfId="0" applyNumberFormat="1" applyFont="1" applyFill="1" applyBorder="1" applyAlignment="1" applyProtection="1">
      <alignment horizontal="right" indent="1"/>
      <protection locked="0"/>
    </xf>
    <xf numFmtId="4" fontId="31" fillId="33" borderId="33" xfId="0" applyNumberFormat="1" applyFont="1" applyFill="1" applyBorder="1" applyAlignment="1" applyProtection="1">
      <alignment horizontal="right" vertical="center" indent="1"/>
      <protection locked="0"/>
    </xf>
    <xf numFmtId="4" fontId="31" fillId="36" borderId="33" xfId="0" applyNumberFormat="1" applyFont="1" applyFill="1" applyBorder="1" applyAlignment="1" applyProtection="1">
      <alignment horizontal="right" indent="1"/>
      <protection locked="0"/>
    </xf>
    <xf numFmtId="4" fontId="31" fillId="33" borderId="33" xfId="0" applyNumberFormat="1" applyFont="1" applyFill="1" applyBorder="1" applyAlignment="1" applyProtection="1">
      <alignment horizontal="right" indent="1"/>
      <protection locked="0"/>
    </xf>
    <xf numFmtId="4" fontId="31" fillId="33" borderId="20" xfId="0" applyNumberFormat="1" applyFont="1" applyFill="1" applyBorder="1" applyAlignment="1" applyProtection="1">
      <alignment horizontal="right" indent="1"/>
      <protection locked="0"/>
    </xf>
    <xf numFmtId="4" fontId="8" fillId="24" borderId="17" xfId="0" applyNumberFormat="1" applyFont="1" applyFill="1" applyBorder="1" applyAlignment="1">
      <alignment horizontal="left" indent="2"/>
    </xf>
    <xf numFmtId="49" fontId="8" fillId="0" borderId="0" xfId="0" applyNumberFormat="1" applyFont="1" applyFill="1" applyBorder="1" applyAlignment="1" applyProtection="1">
      <alignment vertical="top"/>
    </xf>
    <xf numFmtId="0" fontId="84" fillId="0" borderId="54" xfId="0" applyNumberFormat="1" applyFont="1" applyFill="1" applyBorder="1" applyAlignment="1">
      <alignment horizontal="center" vertical="center" wrapText="1"/>
    </xf>
    <xf numFmtId="0" fontId="84" fillId="0" borderId="55" xfId="0" applyNumberFormat="1" applyFont="1" applyFill="1" applyBorder="1" applyAlignment="1">
      <alignment horizontal="center" textRotation="90" wrapText="1"/>
    </xf>
    <xf numFmtId="0" fontId="84" fillId="0" borderId="55" xfId="0" applyNumberFormat="1" applyFont="1" applyFill="1" applyBorder="1" applyAlignment="1" applyProtection="1">
      <alignment horizontal="center" textRotation="90" wrapText="1"/>
      <protection locked="0"/>
    </xf>
    <xf numFmtId="0" fontId="84" fillId="0" borderId="55" xfId="0" applyNumberFormat="1" applyFont="1" applyFill="1" applyBorder="1" applyAlignment="1" applyProtection="1">
      <alignment horizontal="center" textRotation="90" wrapText="1"/>
    </xf>
    <xf numFmtId="0" fontId="84" fillId="0" borderId="56" xfId="0" applyNumberFormat="1" applyFont="1" applyFill="1" applyBorder="1" applyAlignment="1" applyProtection="1">
      <alignment horizontal="center" vertical="center" wrapText="1"/>
      <protection locked="0"/>
    </xf>
    <xf numFmtId="17" fontId="69" fillId="0" borderId="22" xfId="0" applyNumberFormat="1" applyFont="1" applyFill="1" applyBorder="1" applyAlignment="1">
      <alignment horizontal="center" vertical="center"/>
    </xf>
    <xf numFmtId="0" fontId="41" fillId="0" borderId="21" xfId="0" applyNumberFormat="1" applyFont="1" applyFill="1" applyBorder="1" applyAlignment="1" applyProtection="1">
      <alignment horizontal="center" vertical="center"/>
      <protection locked="0" hidden="1"/>
    </xf>
    <xf numFmtId="17" fontId="69" fillId="0" borderId="22" xfId="0" applyNumberFormat="1" applyFont="1" applyFill="1" applyBorder="1" applyAlignment="1" applyProtection="1">
      <alignment horizontal="center" vertical="center" wrapText="1"/>
      <protection hidden="1"/>
    </xf>
    <xf numFmtId="17" fontId="69" fillId="0" borderId="22" xfId="0" applyNumberFormat="1" applyFont="1" applyFill="1" applyBorder="1" applyAlignment="1" applyProtection="1">
      <alignment horizontal="center" vertical="center" wrapText="1"/>
    </xf>
    <xf numFmtId="17" fontId="69" fillId="0" borderId="22" xfId="0" applyNumberFormat="1" applyFont="1" applyFill="1" applyBorder="1" applyAlignment="1" applyProtection="1">
      <alignment horizontal="center" vertical="center"/>
    </xf>
    <xf numFmtId="17" fontId="69" fillId="0" borderId="22" xfId="0" applyNumberFormat="1" applyFont="1" applyFill="1" applyBorder="1" applyAlignment="1" applyProtection="1">
      <alignment horizontal="center" vertical="center"/>
      <protection locked="0"/>
    </xf>
    <xf numFmtId="0" fontId="90" fillId="0" borderId="27" xfId="0" applyNumberFormat="1" applyFont="1" applyFill="1" applyBorder="1" applyAlignment="1">
      <alignment horizontal="center" vertical="center" textRotation="90"/>
    </xf>
    <xf numFmtId="3" fontId="90" fillId="0" borderId="28" xfId="0" applyNumberFormat="1" applyFont="1" applyFill="1" applyBorder="1" applyAlignment="1" applyProtection="1">
      <alignment horizontal="center" vertical="center" textRotation="90"/>
      <protection hidden="1"/>
    </xf>
    <xf numFmtId="0" fontId="39" fillId="0" borderId="29" xfId="0" applyNumberFormat="1" applyFont="1" applyFill="1" applyBorder="1" applyAlignment="1" applyProtection="1">
      <alignment horizontal="center" vertical="center" textRotation="90"/>
      <protection hidden="1"/>
    </xf>
    <xf numFmtId="0" fontId="81" fillId="37" borderId="10" xfId="0" applyFont="1" applyFill="1" applyBorder="1" applyAlignment="1" applyProtection="1">
      <alignment horizontal="left" vertical="center" indent="1"/>
      <protection locked="0"/>
    </xf>
    <xf numFmtId="0" fontId="81" fillId="37" borderId="21" xfId="0" applyFont="1" applyFill="1" applyBorder="1" applyAlignment="1" applyProtection="1">
      <alignment horizontal="left" vertical="center" indent="1"/>
      <protection locked="0"/>
    </xf>
    <xf numFmtId="0" fontId="32" fillId="38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30" borderId="10" xfId="0" applyFont="1" applyFill="1" applyBorder="1" applyAlignment="1">
      <alignment horizontal="center" vertical="center"/>
    </xf>
    <xf numFmtId="0" fontId="32" fillId="38" borderId="10" xfId="0" applyFont="1" applyFill="1" applyBorder="1" applyAlignment="1">
      <alignment horizontal="center" vertical="center"/>
    </xf>
    <xf numFmtId="0" fontId="81" fillId="37" borderId="21" xfId="0" applyFont="1" applyFill="1" applyBorder="1" applyAlignment="1" applyProtection="1">
      <alignment horizontal="left" vertical="center" indent="1"/>
      <protection locked="0"/>
    </xf>
    <xf numFmtId="0" fontId="81" fillId="37" borderId="10" xfId="0" applyFont="1" applyFill="1" applyBorder="1" applyAlignment="1" applyProtection="1">
      <alignment horizontal="left" vertical="center" indent="1"/>
      <protection locked="0"/>
    </xf>
    <xf numFmtId="1" fontId="81" fillId="37" borderId="21" xfId="0" applyNumberFormat="1" applyFont="1" applyFill="1" applyBorder="1" applyAlignment="1" applyProtection="1">
      <alignment horizontal="left" vertical="center" indent="1"/>
      <protection locked="0"/>
    </xf>
    <xf numFmtId="0" fontId="8" fillId="0" borderId="0" xfId="0" applyNumberFormat="1" applyFont="1" applyFill="1" applyBorder="1" applyAlignment="1" applyProtection="1">
      <alignment horizontal="left" vertical="top"/>
    </xf>
    <xf numFmtId="49" fontId="81" fillId="37" borderId="21" xfId="0" applyNumberFormat="1" applyFont="1" applyFill="1" applyBorder="1" applyAlignment="1" applyProtection="1">
      <alignment horizontal="left" vertical="center" indent="1"/>
      <protection locked="0"/>
    </xf>
    <xf numFmtId="0" fontId="81" fillId="37" borderId="12" xfId="0" applyFont="1" applyFill="1" applyBorder="1" applyAlignment="1" applyProtection="1">
      <alignment horizontal="left" vertical="center" indent="1"/>
      <protection locked="0"/>
    </xf>
    <xf numFmtId="0" fontId="5" fillId="30" borderId="0" xfId="0" applyNumberFormat="1" applyFont="1" applyFill="1" applyBorder="1" applyAlignment="1">
      <alignment vertical="top"/>
    </xf>
    <xf numFmtId="17" fontId="6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4" fillId="41" borderId="0" xfId="0" applyFont="1" applyFill="1" applyBorder="1" applyAlignment="1">
      <alignment horizontal="left" wrapText="1" indent="1"/>
    </xf>
    <xf numFmtId="0" fontId="54" fillId="41" borderId="39" xfId="0" applyFont="1" applyFill="1" applyBorder="1" applyAlignment="1">
      <alignment horizontal="left" wrapText="1" indent="1"/>
    </xf>
    <xf numFmtId="0" fontId="94" fillId="42" borderId="41" xfId="0" applyFont="1" applyFill="1" applyBorder="1" applyAlignment="1">
      <alignment horizontal="left" vertical="center" indent="3"/>
    </xf>
    <xf numFmtId="0" fontId="94" fillId="42" borderId="13" xfId="0" applyFont="1" applyFill="1" applyBorder="1" applyAlignment="1">
      <alignment horizontal="left" vertical="center" indent="3"/>
    </xf>
    <xf numFmtId="0" fontId="94" fillId="42" borderId="26" xfId="0" applyFont="1" applyFill="1" applyBorder="1" applyAlignment="1">
      <alignment horizontal="left" vertical="center" indent="3"/>
    </xf>
    <xf numFmtId="0" fontId="54" fillId="41" borderId="12" xfId="0" applyFont="1" applyFill="1" applyBorder="1" applyAlignment="1">
      <alignment horizontal="left" vertical="center"/>
    </xf>
    <xf numFmtId="0" fontId="54" fillId="41" borderId="13" xfId="0" applyFont="1" applyFill="1" applyBorder="1" applyAlignment="1">
      <alignment horizontal="left" vertical="center"/>
    </xf>
    <xf numFmtId="0" fontId="54" fillId="41" borderId="26" xfId="0" applyFont="1" applyFill="1" applyBorder="1" applyAlignment="1">
      <alignment horizontal="left" vertical="center"/>
    </xf>
    <xf numFmtId="0" fontId="54" fillId="41" borderId="0" xfId="0" applyFont="1" applyFill="1" applyBorder="1" applyAlignment="1">
      <alignment horizontal="left" indent="1"/>
    </xf>
    <xf numFmtId="0" fontId="54" fillId="41" borderId="39" xfId="0" applyFont="1" applyFill="1" applyBorder="1" applyAlignment="1">
      <alignment horizontal="left" indent="1"/>
    </xf>
    <xf numFmtId="0" fontId="32" fillId="41" borderId="10" xfId="0" applyFont="1" applyFill="1" applyBorder="1" applyAlignment="1">
      <alignment horizontal="left" wrapText="1"/>
    </xf>
    <xf numFmtId="0" fontId="32" fillId="41" borderId="21" xfId="0" applyFont="1" applyFill="1" applyBorder="1" applyAlignment="1">
      <alignment horizontal="left" wrapText="1"/>
    </xf>
    <xf numFmtId="2" fontId="62" fillId="38" borderId="42" xfId="0" applyNumberFormat="1" applyFont="1" applyFill="1" applyBorder="1" applyAlignment="1">
      <alignment horizontal="center" vertical="center" wrapText="1"/>
    </xf>
    <xf numFmtId="2" fontId="62" fillId="38" borderId="43" xfId="0" applyNumberFormat="1" applyFont="1" applyFill="1" applyBorder="1" applyAlignment="1">
      <alignment horizontal="center" vertical="center" wrapText="1"/>
    </xf>
    <xf numFmtId="2" fontId="62" fillId="38" borderId="44" xfId="0" applyNumberFormat="1" applyFont="1" applyFill="1" applyBorder="1" applyAlignment="1">
      <alignment horizontal="center" vertical="center" wrapText="1"/>
    </xf>
    <xf numFmtId="0" fontId="65" fillId="30" borderId="35" xfId="0" applyFont="1" applyFill="1" applyBorder="1" applyAlignment="1">
      <alignment horizontal="center" vertical="center"/>
    </xf>
    <xf numFmtId="0" fontId="65" fillId="30" borderId="36" xfId="0" applyFont="1" applyFill="1" applyBorder="1" applyAlignment="1">
      <alignment horizontal="center" vertical="center"/>
    </xf>
    <xf numFmtId="0" fontId="65" fillId="30" borderId="37" xfId="0" applyFont="1" applyFill="1" applyBorder="1" applyAlignment="1">
      <alignment horizontal="center" vertical="center"/>
    </xf>
    <xf numFmtId="0" fontId="26" fillId="43" borderId="22" xfId="0" applyFont="1" applyFill="1" applyBorder="1" applyAlignment="1">
      <alignment horizontal="center"/>
    </xf>
    <xf numFmtId="0" fontId="26" fillId="43" borderId="10" xfId="0" applyFont="1" applyFill="1" applyBorder="1" applyAlignment="1">
      <alignment horizontal="center"/>
    </xf>
    <xf numFmtId="0" fontId="26" fillId="43" borderId="21" xfId="0" applyFont="1" applyFill="1" applyBorder="1" applyAlignment="1">
      <alignment horizontal="center"/>
    </xf>
    <xf numFmtId="0" fontId="67" fillId="41" borderId="38" xfId="0" applyFont="1" applyFill="1" applyBorder="1" applyAlignment="1">
      <alignment horizontal="center" vertical="center"/>
    </xf>
    <xf numFmtId="0" fontId="67" fillId="41" borderId="0" xfId="0" applyFont="1" applyFill="1" applyBorder="1" applyAlignment="1">
      <alignment horizontal="center" vertical="center"/>
    </xf>
    <xf numFmtId="0" fontId="67" fillId="41" borderId="39" xfId="0" applyFont="1" applyFill="1" applyBorder="1" applyAlignment="1">
      <alignment horizontal="center" vertical="center"/>
    </xf>
    <xf numFmtId="0" fontId="94" fillId="42" borderId="22" xfId="0" applyFont="1" applyFill="1" applyBorder="1" applyAlignment="1">
      <alignment horizontal="left" indent="3"/>
    </xf>
    <xf numFmtId="0" fontId="94" fillId="42" borderId="10" xfId="0" applyFont="1" applyFill="1" applyBorder="1" applyAlignment="1">
      <alignment horizontal="left" indent="3"/>
    </xf>
    <xf numFmtId="0" fontId="94" fillId="42" borderId="21" xfId="0" applyFont="1" applyFill="1" applyBorder="1" applyAlignment="1">
      <alignment horizontal="left" indent="3"/>
    </xf>
    <xf numFmtId="0" fontId="51" fillId="42" borderId="41" xfId="0" applyFont="1" applyFill="1" applyBorder="1" applyAlignment="1">
      <alignment horizontal="left" indent="3"/>
    </xf>
    <xf numFmtId="0" fontId="51" fillId="42" borderId="13" xfId="0" applyFont="1" applyFill="1" applyBorder="1" applyAlignment="1">
      <alignment horizontal="left" indent="3"/>
    </xf>
    <xf numFmtId="0" fontId="51" fillId="42" borderId="26" xfId="0" applyFont="1" applyFill="1" applyBorder="1" applyAlignment="1">
      <alignment horizontal="left" indent="3"/>
    </xf>
    <xf numFmtId="0" fontId="51" fillId="42" borderId="41" xfId="0" applyFont="1" applyFill="1" applyBorder="1" applyAlignment="1">
      <alignment horizontal="left" vertical="top" indent="4"/>
    </xf>
    <xf numFmtId="0" fontId="51" fillId="42" borderId="13" xfId="0" applyFont="1" applyFill="1" applyBorder="1" applyAlignment="1">
      <alignment horizontal="left" vertical="top" indent="4"/>
    </xf>
    <xf numFmtId="0" fontId="51" fillId="42" borderId="26" xfId="0" applyFont="1" applyFill="1" applyBorder="1" applyAlignment="1">
      <alignment horizontal="left" vertical="top" indent="4"/>
    </xf>
    <xf numFmtId="0" fontId="32" fillId="41" borderId="12" xfId="0" applyFont="1" applyFill="1" applyBorder="1" applyAlignment="1">
      <alignment horizontal="left" wrapText="1"/>
    </xf>
    <xf numFmtId="0" fontId="32" fillId="41" borderId="13" xfId="0" applyFont="1" applyFill="1" applyBorder="1" applyAlignment="1">
      <alignment horizontal="left" wrapText="1"/>
    </xf>
    <xf numFmtId="0" fontId="32" fillId="41" borderId="26" xfId="0" applyFont="1" applyFill="1" applyBorder="1" applyAlignment="1">
      <alignment horizontal="left" wrapText="1"/>
    </xf>
    <xf numFmtId="0" fontId="54" fillId="41" borderId="13" xfId="0" applyFont="1" applyFill="1" applyBorder="1" applyAlignment="1">
      <alignment horizontal="left" vertical="top" wrapText="1" indent="1"/>
    </xf>
    <xf numFmtId="0" fontId="54" fillId="41" borderId="26" xfId="0" applyFont="1" applyFill="1" applyBorder="1" applyAlignment="1">
      <alignment horizontal="left" vertical="top" wrapText="1" indent="1"/>
    </xf>
    <xf numFmtId="0" fontId="54" fillId="41" borderId="10" xfId="0" applyFont="1" applyFill="1" applyBorder="1" applyAlignment="1">
      <alignment horizontal="left"/>
    </xf>
    <xf numFmtId="0" fontId="54" fillId="41" borderId="21" xfId="0" applyFont="1" applyFill="1" applyBorder="1" applyAlignment="1">
      <alignment horizontal="left"/>
    </xf>
    <xf numFmtId="0" fontId="54" fillId="41" borderId="12" xfId="0" applyFont="1" applyFill="1" applyBorder="1" applyAlignment="1">
      <alignment horizontal="left"/>
    </xf>
    <xf numFmtId="0" fontId="54" fillId="41" borderId="13" xfId="0" applyFont="1" applyFill="1" applyBorder="1" applyAlignment="1">
      <alignment horizontal="left"/>
    </xf>
    <xf numFmtId="0" fontId="54" fillId="41" borderId="26" xfId="0" applyFont="1" applyFill="1" applyBorder="1" applyAlignment="1">
      <alignment horizontal="left"/>
    </xf>
    <xf numFmtId="0" fontId="63" fillId="30" borderId="41" xfId="0" applyFont="1" applyFill="1" applyBorder="1" applyAlignment="1">
      <alignment horizontal="left" wrapText="1"/>
    </xf>
    <xf numFmtId="0" fontId="63" fillId="30" borderId="13" xfId="0" applyFont="1" applyFill="1" applyBorder="1" applyAlignment="1">
      <alignment horizontal="left" wrapText="1"/>
    </xf>
    <xf numFmtId="0" fontId="63" fillId="30" borderId="26" xfId="0" applyFont="1" applyFill="1" applyBorder="1" applyAlignment="1">
      <alignment horizontal="left" wrapText="1"/>
    </xf>
    <xf numFmtId="0" fontId="54" fillId="41" borderId="12" xfId="0" applyFont="1" applyFill="1" applyBorder="1" applyAlignment="1">
      <alignment horizontal="left" wrapText="1"/>
    </xf>
    <xf numFmtId="0" fontId="54" fillId="41" borderId="13" xfId="0" applyFont="1" applyFill="1" applyBorder="1" applyAlignment="1">
      <alignment horizontal="left" wrapText="1"/>
    </xf>
    <xf numFmtId="0" fontId="54" fillId="41" borderId="26" xfId="0" applyFont="1" applyFill="1" applyBorder="1" applyAlignment="1">
      <alignment horizontal="left" wrapText="1"/>
    </xf>
    <xf numFmtId="0" fontId="63" fillId="41" borderId="17" xfId="0" applyFont="1" applyFill="1" applyBorder="1" applyAlignment="1">
      <alignment horizontal="left" wrapText="1"/>
    </xf>
    <xf numFmtId="0" fontId="63" fillId="41" borderId="17" xfId="0" applyFont="1" applyFill="1" applyBorder="1" applyAlignment="1">
      <alignment horizontal="left"/>
    </xf>
    <xf numFmtId="0" fontId="63" fillId="41" borderId="45" xfId="0" applyFont="1" applyFill="1" applyBorder="1" applyAlignment="1">
      <alignment horizontal="left"/>
    </xf>
    <xf numFmtId="0" fontId="63" fillId="41" borderId="11" xfId="0" applyFont="1" applyFill="1" applyBorder="1" applyAlignment="1">
      <alignment horizontal="left"/>
    </xf>
    <xf numFmtId="0" fontId="63" fillId="41" borderId="40" xfId="0" applyFont="1" applyFill="1" applyBorder="1" applyAlignment="1">
      <alignment horizontal="left"/>
    </xf>
    <xf numFmtId="0" fontId="74" fillId="41" borderId="23" xfId="0" applyFont="1" applyFill="1" applyBorder="1" applyAlignment="1">
      <alignment horizontal="center" vertical="top"/>
    </xf>
    <xf numFmtId="0" fontId="74" fillId="41" borderId="25" xfId="0" applyFont="1" applyFill="1" applyBorder="1" applyAlignment="1">
      <alignment horizontal="center" vertical="top"/>
    </xf>
    <xf numFmtId="0" fontId="81" fillId="37" borderId="10" xfId="0" applyFont="1" applyFill="1" applyBorder="1" applyAlignment="1" applyProtection="1">
      <alignment horizontal="left" vertical="center" indent="1"/>
      <protection locked="0"/>
    </xf>
    <xf numFmtId="0" fontId="81" fillId="37" borderId="21" xfId="0" applyFont="1" applyFill="1" applyBorder="1" applyAlignment="1" applyProtection="1">
      <alignment horizontal="left" vertical="center" indent="1"/>
      <protection locked="0"/>
    </xf>
    <xf numFmtId="0" fontId="82" fillId="38" borderId="35" xfId="0" applyFont="1" applyFill="1" applyBorder="1" applyAlignment="1">
      <alignment horizontal="center" vertical="center"/>
    </xf>
    <xf numFmtId="0" fontId="82" fillId="38" borderId="36" xfId="0" applyFont="1" applyFill="1" applyBorder="1" applyAlignment="1">
      <alignment horizontal="center" vertical="center"/>
    </xf>
    <xf numFmtId="0" fontId="82" fillId="38" borderId="37" xfId="0" applyFont="1" applyFill="1" applyBorder="1" applyAlignment="1">
      <alignment horizontal="center" vertical="center"/>
    </xf>
    <xf numFmtId="0" fontId="83" fillId="38" borderId="48" xfId="0" applyFont="1" applyFill="1" applyBorder="1" applyAlignment="1">
      <alignment horizontal="center" vertical="center"/>
    </xf>
    <xf numFmtId="0" fontId="83" fillId="38" borderId="11" xfId="0" applyFont="1" applyFill="1" applyBorder="1" applyAlignment="1">
      <alignment horizontal="center" vertical="center"/>
    </xf>
    <xf numFmtId="0" fontId="83" fillId="38" borderId="40" xfId="0" applyFont="1" applyFill="1" applyBorder="1" applyAlignment="1">
      <alignment horizontal="center" vertical="center"/>
    </xf>
    <xf numFmtId="0" fontId="101" fillId="30" borderId="0" xfId="0" applyNumberFormat="1" applyFon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 indent="2"/>
    </xf>
    <xf numFmtId="1" fontId="8" fillId="0" borderId="0" xfId="0" applyNumberFormat="1" applyFont="1" applyFill="1" applyBorder="1" applyAlignment="1" applyProtection="1">
      <alignment horizontal="left" vertical="top" indent="1"/>
    </xf>
    <xf numFmtId="0" fontId="8" fillId="0" borderId="0" xfId="0" applyNumberFormat="1" applyFont="1" applyFill="1" applyBorder="1" applyAlignment="1" applyProtection="1">
      <alignment horizontal="right" vertical="top" indent="1"/>
    </xf>
    <xf numFmtId="1" fontId="8" fillId="0" borderId="0" xfId="0" applyNumberFormat="1" applyFont="1" applyFill="1" applyBorder="1" applyAlignment="1" applyProtection="1">
      <alignment horizontal="left" vertical="top"/>
    </xf>
    <xf numFmtId="0" fontId="88" fillId="0" borderId="0" xfId="0" applyNumberFormat="1" applyFont="1" applyFill="1" applyBorder="1" applyAlignment="1" applyProtection="1">
      <alignment horizontal="center" vertical="top"/>
    </xf>
    <xf numFmtId="0" fontId="89" fillId="0" borderId="0" xfId="0" applyNumberFormat="1" applyFont="1" applyFill="1" applyBorder="1" applyAlignment="1" applyProtection="1">
      <alignment horizontal="center" vertical="top"/>
    </xf>
    <xf numFmtId="1" fontId="8" fillId="0" borderId="0" xfId="0" applyNumberFormat="1" applyFont="1" applyFill="1" applyBorder="1" applyAlignment="1" applyProtection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top" wrapText="1"/>
    </xf>
    <xf numFmtId="2" fontId="36" fillId="29" borderId="27" xfId="0" applyNumberFormat="1" applyFont="1" applyFill="1" applyBorder="1" applyAlignment="1">
      <alignment horizontal="center" vertical="center" wrapText="1"/>
    </xf>
    <xf numFmtId="2" fontId="36" fillId="29" borderId="28" xfId="0" applyNumberFormat="1" applyFont="1" applyFill="1" applyBorder="1" applyAlignment="1">
      <alignment horizontal="center" vertical="center"/>
    </xf>
    <xf numFmtId="2" fontId="36" fillId="29" borderId="29" xfId="0" applyNumberFormat="1" applyFont="1" applyFill="1" applyBorder="1" applyAlignment="1">
      <alignment horizontal="center" vertical="center"/>
    </xf>
    <xf numFmtId="2" fontId="59" fillId="35" borderId="35" xfId="0" applyNumberFormat="1" applyFont="1" applyFill="1" applyBorder="1" applyAlignment="1">
      <alignment horizontal="center" vertical="center"/>
    </xf>
    <xf numFmtId="2" fontId="59" fillId="35" borderId="36" xfId="0" applyNumberFormat="1" applyFont="1" applyFill="1" applyBorder="1" applyAlignment="1">
      <alignment horizontal="center" vertical="center"/>
    </xf>
    <xf numFmtId="2" fontId="59" fillId="35" borderId="37" xfId="0" applyNumberFormat="1" applyFont="1" applyFill="1" applyBorder="1" applyAlignment="1">
      <alignment horizontal="center" vertical="center"/>
    </xf>
    <xf numFmtId="2" fontId="73" fillId="34" borderId="48" xfId="0" applyNumberFormat="1" applyFont="1" applyFill="1" applyBorder="1" applyAlignment="1">
      <alignment horizontal="center" vertical="center"/>
    </xf>
    <xf numFmtId="2" fontId="73" fillId="34" borderId="11" xfId="0" applyNumberFormat="1" applyFont="1" applyFill="1" applyBorder="1" applyAlignment="1">
      <alignment horizontal="center" vertical="center"/>
    </xf>
    <xf numFmtId="2" fontId="73" fillId="34" borderId="40" xfId="0" applyNumberFormat="1" applyFont="1" applyFill="1" applyBorder="1" applyAlignment="1">
      <alignment horizontal="center" vertical="center"/>
    </xf>
    <xf numFmtId="1" fontId="3" fillId="31" borderId="39" xfId="0" applyNumberFormat="1" applyFont="1" applyFill="1" applyBorder="1" applyAlignment="1">
      <alignment horizontal="center" vertical="center" wrapText="1"/>
    </xf>
    <xf numFmtId="1" fontId="50" fillId="32" borderId="39" xfId="0" applyNumberFormat="1" applyFont="1" applyFill="1" applyBorder="1" applyAlignment="1">
      <alignment horizontal="center" vertical="center" wrapText="1"/>
    </xf>
    <xf numFmtId="2" fontId="8" fillId="24" borderId="38" xfId="0" applyNumberFormat="1" applyFont="1" applyFill="1" applyBorder="1" applyAlignment="1">
      <alignment horizontal="right" indent="1"/>
    </xf>
    <xf numFmtId="2" fontId="8" fillId="24" borderId="0" xfId="0" applyNumberFormat="1" applyFont="1" applyFill="1" applyBorder="1" applyAlignment="1">
      <alignment horizontal="right" indent="1"/>
    </xf>
    <xf numFmtId="2" fontId="8" fillId="24" borderId="49" xfId="0" applyNumberFormat="1" applyFont="1" applyFill="1" applyBorder="1" applyAlignment="1">
      <alignment horizontal="right" indent="1"/>
    </xf>
    <xf numFmtId="2" fontId="8" fillId="24" borderId="17" xfId="0" applyNumberFormat="1" applyFont="1" applyFill="1" applyBorder="1" applyAlignment="1">
      <alignment horizontal="right" indent="1"/>
    </xf>
    <xf numFmtId="2" fontId="8" fillId="32" borderId="39" xfId="0" applyNumberFormat="1" applyFont="1" applyFill="1" applyBorder="1" applyAlignment="1">
      <alignment horizontal="center" vertical="center"/>
    </xf>
    <xf numFmtId="0" fontId="97" fillId="40" borderId="10" xfId="0" applyFont="1" applyFill="1" applyBorder="1" applyAlignment="1">
      <alignment horizontal="center" wrapText="1"/>
    </xf>
    <xf numFmtId="0" fontId="1" fillId="0" borderId="22" xfId="37" applyFont="1" applyBorder="1" applyAlignment="1">
      <alignment horizontal="center" vertical="top"/>
    </xf>
    <xf numFmtId="0" fontId="1" fillId="0" borderId="10" xfId="37" applyFont="1" applyBorder="1" applyAlignment="1">
      <alignment horizontal="left" vertical="center"/>
    </xf>
    <xf numFmtId="0" fontId="1" fillId="0" borderId="10" xfId="37" applyFont="1" applyBorder="1" applyAlignment="1">
      <alignment horizontal="center" vertical="center"/>
    </xf>
    <xf numFmtId="2" fontId="32" fillId="0" borderId="12" xfId="37" applyNumberFormat="1" applyFont="1" applyBorder="1" applyAlignment="1">
      <alignment horizontal="center" vertical="center"/>
    </xf>
    <xf numFmtId="2" fontId="32" fillId="0" borderId="13" xfId="37" applyNumberFormat="1" applyFont="1" applyBorder="1" applyAlignment="1">
      <alignment horizontal="center" vertical="center"/>
    </xf>
    <xf numFmtId="2" fontId="32" fillId="0" borderId="14" xfId="37" applyNumberFormat="1" applyFont="1" applyBorder="1" applyAlignment="1">
      <alignment horizontal="center" vertical="center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48" fillId="0" borderId="0" xfId="37" applyFont="1" applyFill="1" applyAlignment="1">
      <alignment horizontal="center"/>
    </xf>
    <xf numFmtId="2" fontId="32" fillId="0" borderId="10" xfId="37" applyNumberFormat="1" applyFont="1" applyBorder="1" applyAlignment="1">
      <alignment horizontal="center" vertical="center"/>
    </xf>
    <xf numFmtId="0" fontId="1" fillId="0" borderId="10" xfId="37" applyFont="1" applyFill="1" applyBorder="1" applyAlignment="1">
      <alignment horizontal="left" vertical="center"/>
    </xf>
    <xf numFmtId="0" fontId="2" fillId="0" borderId="10" xfId="37" applyFont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0" fontId="2" fillId="0" borderId="12" xfId="37" applyFont="1" applyFill="1" applyBorder="1" applyAlignment="1">
      <alignment horizontal="right" vertical="center" indent="1"/>
    </xf>
    <xf numFmtId="0" fontId="2" fillId="0" borderId="13" xfId="37" applyFont="1" applyFill="1" applyBorder="1" applyAlignment="1">
      <alignment horizontal="right" vertical="center" indent="1"/>
    </xf>
    <xf numFmtId="0" fontId="2" fillId="0" borderId="14" xfId="37" applyFont="1" applyFill="1" applyBorder="1" applyAlignment="1">
      <alignment horizontal="right" vertical="center" indent="1"/>
    </xf>
    <xf numFmtId="0" fontId="1" fillId="0" borderId="10" xfId="37" applyFont="1" applyFill="1" applyBorder="1" applyAlignment="1">
      <alignment vertical="center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1" fillId="0" borderId="14" xfId="37" applyFont="1" applyBorder="1" applyAlignment="1">
      <alignment horizontal="left" vertical="center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0" fontId="1" fillId="0" borderId="10" xfId="37" applyFont="1" applyBorder="1" applyAlignment="1">
      <alignment horizontal="right" vertical="center" indent="1"/>
    </xf>
    <xf numFmtId="0" fontId="1" fillId="0" borderId="18" xfId="37" applyFont="1" applyFill="1" applyBorder="1" applyAlignment="1">
      <alignment horizontal="left" vertical="center" wrapText="1"/>
    </xf>
    <xf numFmtId="0" fontId="1" fillId="0" borderId="17" xfId="37" applyFont="1" applyFill="1" applyBorder="1" applyAlignment="1">
      <alignment horizontal="left" vertical="center" wrapText="1"/>
    </xf>
    <xf numFmtId="0" fontId="1" fillId="0" borderId="19" xfId="37" applyFont="1" applyFill="1" applyBorder="1" applyAlignment="1">
      <alignment horizontal="left" vertical="center" wrapText="1"/>
    </xf>
    <xf numFmtId="0" fontId="1" fillId="0" borderId="16" xfId="37" applyFont="1" applyFill="1" applyBorder="1" applyAlignment="1">
      <alignment horizontal="left" vertical="center" wrapText="1"/>
    </xf>
    <xf numFmtId="0" fontId="1" fillId="0" borderId="11" xfId="37" applyFont="1" applyFill="1" applyBorder="1" applyAlignment="1">
      <alignment horizontal="left" vertical="center" wrapText="1"/>
    </xf>
    <xf numFmtId="0" fontId="1" fillId="0" borderId="20" xfId="37" applyFont="1" applyFill="1" applyBorder="1" applyAlignment="1">
      <alignment horizontal="left" vertical="center" wrapText="1"/>
    </xf>
    <xf numFmtId="0" fontId="29" fillId="0" borderId="47" xfId="37" applyFont="1" applyBorder="1" applyAlignment="1">
      <alignment horizontal="center" vertical="top"/>
    </xf>
    <xf numFmtId="0" fontId="29" fillId="0" borderId="15" xfId="37" applyFont="1" applyBorder="1" applyAlignment="1">
      <alignment horizontal="center" vertical="top"/>
    </xf>
    <xf numFmtId="2" fontId="35" fillId="0" borderId="47" xfId="37" applyNumberFormat="1" applyFont="1" applyBorder="1" applyAlignment="1" applyProtection="1">
      <alignment horizontal="center" vertical="center"/>
      <protection hidden="1"/>
    </xf>
    <xf numFmtId="2" fontId="35" fillId="0" borderId="15" xfId="37" applyNumberFormat="1" applyFont="1" applyBorder="1" applyAlignment="1" applyProtection="1">
      <alignment horizontal="center" vertical="center"/>
      <protection hidden="1"/>
    </xf>
    <xf numFmtId="0" fontId="2" fillId="0" borderId="12" xfId="37" applyFont="1" applyBorder="1" applyAlignment="1">
      <alignment horizontal="right" vertical="center" indent="1"/>
    </xf>
    <xf numFmtId="0" fontId="2" fillId="0" borderId="13" xfId="37" applyFont="1" applyBorder="1" applyAlignment="1">
      <alignment horizontal="right" vertical="center" indent="1"/>
    </xf>
    <xf numFmtId="0" fontId="2" fillId="0" borderId="14" xfId="37" applyFont="1" applyBorder="1" applyAlignment="1">
      <alignment horizontal="right" vertical="center" indent="1"/>
    </xf>
    <xf numFmtId="0" fontId="2" fillId="0" borderId="21" xfId="37" applyFont="1" applyBorder="1" applyAlignment="1">
      <alignment horizontal="left" vertical="center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1" fillId="0" borderId="18" xfId="37" applyFont="1" applyBorder="1" applyAlignment="1">
      <alignment horizontal="center" vertical="center"/>
    </xf>
    <xf numFmtId="0" fontId="1" fillId="0" borderId="45" xfId="37" applyFont="1" applyBorder="1" applyAlignment="1">
      <alignment horizontal="center" vertical="center"/>
    </xf>
    <xf numFmtId="0" fontId="1" fillId="0" borderId="34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47" xfId="37" applyFont="1" applyBorder="1" applyAlignment="1">
      <alignment horizontal="center" vertical="center"/>
    </xf>
    <xf numFmtId="0" fontId="1" fillId="0" borderId="15" xfId="37" applyFont="1" applyBorder="1" applyAlignment="1">
      <alignment horizontal="center" vertical="center"/>
    </xf>
    <xf numFmtId="0" fontId="35" fillId="0" borderId="32" xfId="38" applyFont="1" applyFill="1" applyBorder="1" applyAlignment="1">
      <alignment horizontal="left" vertical="center"/>
    </xf>
    <xf numFmtId="0" fontId="35" fillId="0" borderId="32" xfId="37" applyFont="1" applyFill="1" applyBorder="1" applyAlignment="1">
      <alignment horizontal="left" vertical="center"/>
    </xf>
    <xf numFmtId="0" fontId="28" fillId="0" borderId="10" xfId="37" applyFont="1" applyBorder="1" applyAlignment="1">
      <alignment horizontal="center" vertical="center"/>
    </xf>
    <xf numFmtId="0" fontId="28" fillId="0" borderId="21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0" fontId="2" fillId="0" borderId="12" xfId="37" applyFont="1" applyBorder="1" applyAlignment="1">
      <alignment horizontal="right" vertical="center"/>
    </xf>
    <xf numFmtId="0" fontId="2" fillId="0" borderId="13" xfId="37" applyFont="1" applyBorder="1" applyAlignment="1">
      <alignment horizontal="right" vertical="center"/>
    </xf>
    <xf numFmtId="0" fontId="2" fillId="0" borderId="14" xfId="37" applyFont="1" applyBorder="1" applyAlignment="1">
      <alignment horizontal="right" vertical="center"/>
    </xf>
    <xf numFmtId="0" fontId="0" fillId="0" borderId="45" xfId="0" applyBorder="1"/>
    <xf numFmtId="0" fontId="0" fillId="0" borderId="34" xfId="0" applyBorder="1"/>
    <xf numFmtId="0" fontId="0" fillId="0" borderId="39" xfId="0" applyBorder="1"/>
    <xf numFmtId="0" fontId="0" fillId="0" borderId="16" xfId="0" applyBorder="1"/>
    <xf numFmtId="0" fontId="0" fillId="0" borderId="40" xfId="0" applyBorder="1"/>
    <xf numFmtId="0" fontId="71" fillId="0" borderId="51" xfId="37" applyFont="1" applyBorder="1" applyAlignment="1">
      <alignment horizontal="right" vertical="center"/>
    </xf>
    <xf numFmtId="0" fontId="71" fillId="0" borderId="50" xfId="37" applyFont="1" applyBorder="1" applyAlignment="1">
      <alignment horizontal="right" vertical="center"/>
    </xf>
    <xf numFmtId="0" fontId="86" fillId="0" borderId="36" xfId="37" applyFont="1" applyBorder="1" applyAlignment="1">
      <alignment horizontal="center" vertical="center"/>
    </xf>
    <xf numFmtId="0" fontId="86" fillId="0" borderId="37" xfId="37" applyFont="1" applyBorder="1" applyAlignment="1">
      <alignment horizontal="center" vertical="center"/>
    </xf>
    <xf numFmtId="0" fontId="86" fillId="0" borderId="50" xfId="37" applyFont="1" applyBorder="1" applyAlignment="1">
      <alignment horizontal="center" vertical="center"/>
    </xf>
    <xf numFmtId="0" fontId="86" fillId="0" borderId="52" xfId="37" applyFont="1" applyBorder="1" applyAlignment="1">
      <alignment horizontal="center" vertical="center"/>
    </xf>
    <xf numFmtId="0" fontId="46" fillId="0" borderId="35" xfId="37" applyFont="1" applyBorder="1" applyAlignment="1">
      <alignment horizontal="right" vertical="center"/>
    </xf>
    <xf numFmtId="0" fontId="46" fillId="0" borderId="36" xfId="37" applyFont="1" applyBorder="1" applyAlignment="1">
      <alignment horizontal="right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5" fillId="0" borderId="46" xfId="37" applyFont="1" applyFill="1" applyBorder="1" applyAlignment="1">
      <alignment horizontal="left" vertical="center"/>
    </xf>
    <xf numFmtId="0" fontId="1" fillId="0" borderId="15" xfId="37" applyFont="1" applyBorder="1" applyAlignment="1">
      <alignment horizontal="left" vertical="center"/>
    </xf>
    <xf numFmtId="0" fontId="2" fillId="0" borderId="10" xfId="37" applyFont="1" applyBorder="1" applyAlignment="1">
      <alignment horizontal="right" vertical="center" indent="1"/>
    </xf>
    <xf numFmtId="9" fontId="41" fillId="0" borderId="10" xfId="37" applyNumberFormat="1" applyFont="1" applyBorder="1" applyAlignment="1">
      <alignment horizontal="center" vertical="center"/>
    </xf>
    <xf numFmtId="0" fontId="41" fillId="0" borderId="10" xfId="37" applyFont="1" applyBorder="1" applyAlignment="1">
      <alignment horizontal="center" vertical="center"/>
    </xf>
    <xf numFmtId="0" fontId="41" fillId="0" borderId="12" xfId="37" applyFont="1" applyBorder="1" applyAlignment="1">
      <alignment horizontal="center" vertical="center"/>
    </xf>
    <xf numFmtId="0" fontId="41" fillId="0" borderId="13" xfId="37" applyFont="1" applyBorder="1" applyAlignment="1">
      <alignment horizontal="center" vertical="center"/>
    </xf>
    <xf numFmtId="0" fontId="41" fillId="0" borderId="14" xfId="37" applyFont="1" applyBorder="1" applyAlignment="1">
      <alignment horizontal="center" vertical="center"/>
    </xf>
    <xf numFmtId="0" fontId="32" fillId="0" borderId="10" xfId="37" applyFont="1" applyBorder="1" applyAlignment="1">
      <alignment horizontal="center" vertical="center" wrapText="1"/>
    </xf>
    <xf numFmtId="0" fontId="87" fillId="0" borderId="42" xfId="37" applyFont="1" applyBorder="1" applyAlignment="1">
      <alignment horizontal="right" vertical="center"/>
    </xf>
    <xf numFmtId="0" fontId="0" fillId="0" borderId="43" xfId="0" applyBorder="1"/>
    <xf numFmtId="0" fontId="0" fillId="0" borderId="53" xfId="0" applyBorder="1"/>
    <xf numFmtId="0" fontId="2" fillId="0" borderId="10" xfId="37" applyFont="1" applyBorder="1" applyAlignment="1">
      <alignment horizontal="center" vertical="center" wrapText="1"/>
    </xf>
    <xf numFmtId="0" fontId="2" fillId="0" borderId="12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0" fontId="40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50" fillId="0" borderId="10" xfId="37" applyFont="1" applyBorder="1" applyAlignment="1">
      <alignment horizontal="center" vertical="center"/>
    </xf>
    <xf numFmtId="0" fontId="50" fillId="0" borderId="12" xfId="37" applyFont="1" applyBorder="1" applyAlignment="1">
      <alignment horizontal="center" vertical="center"/>
    </xf>
    <xf numFmtId="0" fontId="50" fillId="0" borderId="13" xfId="37" applyFont="1" applyBorder="1" applyAlignment="1">
      <alignment horizontal="center" vertical="center"/>
    </xf>
    <xf numFmtId="0" fontId="50" fillId="0" borderId="14" xfId="37" applyFont="1" applyBorder="1" applyAlignment="1">
      <alignment horizontal="center" vertical="center"/>
    </xf>
    <xf numFmtId="0" fontId="75" fillId="0" borderId="12" xfId="37" applyFont="1" applyBorder="1" applyAlignment="1">
      <alignment horizontal="center" vertical="center"/>
    </xf>
    <xf numFmtId="0" fontId="75" fillId="0" borderId="13" xfId="37" applyFont="1" applyBorder="1" applyAlignment="1">
      <alignment horizontal="center" vertical="center"/>
    </xf>
    <xf numFmtId="0" fontId="75" fillId="0" borderId="14" xfId="37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top"/>
    </xf>
    <xf numFmtId="2" fontId="1" fillId="0" borderId="13" xfId="0" applyNumberFormat="1" applyFont="1" applyBorder="1" applyAlignment="1">
      <alignment horizontal="left" vertical="top"/>
    </xf>
    <xf numFmtId="2" fontId="1" fillId="0" borderId="14" xfId="0" applyNumberFormat="1" applyFont="1" applyBorder="1" applyAlignment="1">
      <alignment horizontal="left" vertical="top"/>
    </xf>
    <xf numFmtId="0" fontId="2" fillId="0" borderId="26" xfId="37" applyFont="1" applyBorder="1" applyAlignment="1">
      <alignment horizontal="center" vertical="center" wrapText="1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1" fillId="0" borderId="10" xfId="37" applyFont="1" applyBorder="1" applyAlignment="1">
      <alignment horizontal="right" vertical="center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1" fillId="0" borderId="12" xfId="37" applyFont="1" applyBorder="1" applyAlignment="1">
      <alignment horizontal="right" indent="1"/>
    </xf>
    <xf numFmtId="0" fontId="1" fillId="0" borderId="13" xfId="37" applyFont="1" applyBorder="1" applyAlignment="1">
      <alignment horizontal="right" indent="1"/>
    </xf>
    <xf numFmtId="0" fontId="1" fillId="0" borderId="14" xfId="37" applyFont="1" applyBorder="1" applyAlignment="1">
      <alignment horizontal="right" indent="1"/>
    </xf>
    <xf numFmtId="0" fontId="6" fillId="0" borderId="12" xfId="37" applyFont="1" applyBorder="1" applyAlignment="1">
      <alignment horizontal="left"/>
    </xf>
    <xf numFmtId="0" fontId="6" fillId="0" borderId="13" xfId="37" applyFont="1" applyBorder="1" applyAlignment="1">
      <alignment horizontal="left"/>
    </xf>
    <xf numFmtId="0" fontId="1" fillId="0" borderId="13" xfId="37" applyFont="1" applyBorder="1" applyAlignment="1">
      <alignment horizontal="right" vertical="center"/>
    </xf>
    <xf numFmtId="0" fontId="1" fillId="0" borderId="14" xfId="37" applyFont="1" applyBorder="1" applyAlignment="1">
      <alignment horizontal="right" vertical="center"/>
    </xf>
    <xf numFmtId="3" fontId="41" fillId="0" borderId="12" xfId="37" applyNumberFormat="1" applyFont="1" applyBorder="1" applyAlignment="1">
      <alignment horizontal="center" vertical="center"/>
    </xf>
    <xf numFmtId="3" fontId="41" fillId="0" borderId="13" xfId="37" applyNumberFormat="1" applyFont="1" applyBorder="1" applyAlignment="1">
      <alignment horizontal="center" vertical="center"/>
    </xf>
    <xf numFmtId="3" fontId="41" fillId="0" borderId="14" xfId="37" applyNumberFormat="1" applyFont="1" applyBorder="1" applyAlignment="1">
      <alignment horizontal="center" vertical="center"/>
    </xf>
    <xf numFmtId="9" fontId="41" fillId="0" borderId="18" xfId="37" applyNumberFormat="1" applyFont="1" applyBorder="1" applyAlignment="1">
      <alignment horizontal="center" vertical="center"/>
    </xf>
    <xf numFmtId="9" fontId="41" fillId="0" borderId="19" xfId="37" applyNumberFormat="1" applyFont="1" applyBorder="1" applyAlignment="1">
      <alignment horizontal="center" vertical="center"/>
    </xf>
    <xf numFmtId="0" fontId="87" fillId="0" borderId="27" xfId="37" applyFont="1" applyBorder="1" applyAlignment="1">
      <alignment horizontal="right" vertical="center"/>
    </xf>
    <xf numFmtId="0" fontId="87" fillId="0" borderId="28" xfId="37" applyFont="1" applyBorder="1" applyAlignment="1">
      <alignment horizontal="right" vertical="center"/>
    </xf>
    <xf numFmtId="0" fontId="102" fillId="30" borderId="57" xfId="0" applyNumberFormat="1" applyFont="1" applyFill="1" applyBorder="1" applyAlignment="1" applyProtection="1">
      <alignment horizontal="center" vertical="center"/>
      <protection locked="0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pay 2008-09" xfId="38" xr:uid="{00000000-0005-0000-0000-000026000000}"/>
    <cellStyle name="Note" xfId="39" builtinId="10" customBuiltin="1"/>
    <cellStyle name="Output" xfId="40" builtinId="21" customBuiltin="1"/>
    <cellStyle name="Percent" xfId="44" builtinId="5"/>
    <cellStyle name="Title" xfId="41" builtinId="15" customBuiltin="1"/>
    <cellStyle name="Total" xfId="42" builtinId="25" customBuiltin="1"/>
    <cellStyle name="Warning Text" xfId="43" builtinId="11" customBuiltin="1"/>
  </cellStyles>
  <dxfs count="7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66FF"/>
      <color rgb="FF0000FF"/>
      <color rgb="FFFF66CC"/>
      <color rgb="FFFFFFCC"/>
      <color rgb="FFFFFF00"/>
      <color rgb="FFCCFFCC"/>
      <color rgb="FF00FF00"/>
      <color rgb="FFFF99CC"/>
      <color rgb="FF33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116417</xdr:colOff>
      <xdr:row>0</xdr:row>
      <xdr:rowOff>52917</xdr:rowOff>
    </xdr:from>
    <xdr:to>
      <xdr:col>27</xdr:col>
      <xdr:colOff>666750</xdr:colOff>
      <xdr:row>0</xdr:row>
      <xdr:rowOff>444500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CE626A32-3B99-461F-BC7D-B22F29174B98}"/>
            </a:ext>
          </a:extLst>
        </xdr:cNvPr>
        <xdr:cNvSpPr/>
      </xdr:nvSpPr>
      <xdr:spPr>
        <a:xfrm>
          <a:off x="10339917" y="52917"/>
          <a:ext cx="1397000" cy="391583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66676</xdr:colOff>
      <xdr:row>0</xdr:row>
      <xdr:rowOff>47625</xdr:rowOff>
    </xdr:from>
    <xdr:to>
      <xdr:col>16</xdr:col>
      <xdr:colOff>895350</xdr:colOff>
      <xdr:row>1</xdr:row>
      <xdr:rowOff>161925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210301" y="47625"/>
          <a:ext cx="1876424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ysClr val="windowText" lastClr="000000"/>
              </a:solidFill>
              <a:latin typeface="+mj-lt"/>
              <a:cs typeface="Times New Roman" pitchFamily="18" charset="0"/>
            </a:rPr>
            <a:t>Old Tax Regime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95250</xdr:rowOff>
    </xdr:from>
    <xdr:to>
      <xdr:col>16</xdr:col>
      <xdr:colOff>904874</xdr:colOff>
      <xdr:row>1</xdr:row>
      <xdr:rowOff>209550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29350" y="95250"/>
          <a:ext cx="1924049" cy="35242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IN" sz="1250" b="1" i="1">
              <a:solidFill>
                <a:sysClr val="windowText" lastClr="000000"/>
              </a:solidFill>
              <a:latin typeface="+mj-lt"/>
              <a:cs typeface="Times New Roman" pitchFamily="18" charset="0"/>
            </a:rPr>
            <a:t>New Tax Regime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25"/>
  <sheetViews>
    <sheetView showGridLines="0" tabSelected="1" zoomScale="110" zoomScaleNormal="110" workbookViewId="0">
      <selection activeCell="E25" sqref="E25"/>
    </sheetView>
  </sheetViews>
  <sheetFormatPr defaultColWidth="0" defaultRowHeight="12.75" zeroHeight="1" x14ac:dyDescent="0.2"/>
  <cols>
    <col min="1" max="1" width="4" style="56" customWidth="1"/>
    <col min="2" max="2" width="4" style="60" customWidth="1"/>
    <col min="3" max="16" width="9.140625" customWidth="1"/>
    <col min="17" max="17" width="3.5703125" customWidth="1"/>
    <col min="18" max="18" width="0" hidden="1" customWidth="1"/>
  </cols>
  <sheetData>
    <row r="1" spans="1:17" ht="20.25" customHeight="1" thickBot="1" x14ac:dyDescent="0.25"/>
    <row r="2" spans="1:17" ht="25.5" customHeight="1" x14ac:dyDescent="0.2">
      <c r="B2" s="209" t="s">
        <v>197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</row>
    <row r="3" spans="1:17" ht="18.75" x14ac:dyDescent="0.3">
      <c r="B3" s="212" t="s">
        <v>132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</row>
    <row r="4" spans="1:17" ht="21" customHeight="1" x14ac:dyDescent="0.2">
      <c r="B4" s="215" t="s">
        <v>195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</row>
    <row r="5" spans="1:17" ht="21" customHeight="1" x14ac:dyDescent="0.2">
      <c r="B5" s="196" t="s">
        <v>257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8"/>
    </row>
    <row r="6" spans="1:17" ht="21" customHeight="1" x14ac:dyDescent="0.2">
      <c r="B6" s="140">
        <v>1</v>
      </c>
      <c r="C6" s="199" t="s">
        <v>134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1"/>
    </row>
    <row r="7" spans="1:17" ht="21" customHeight="1" x14ac:dyDescent="0.2">
      <c r="B7" s="136">
        <v>2</v>
      </c>
      <c r="C7" s="199" t="s">
        <v>290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1"/>
    </row>
    <row r="8" spans="1:17" s="133" customFormat="1" ht="18.75" x14ac:dyDescent="0.3">
      <c r="A8" s="131"/>
      <c r="B8" s="218" t="s">
        <v>133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  <c r="Q8" s="132"/>
    </row>
    <row r="9" spans="1:17" s="133" customFormat="1" ht="18.75" x14ac:dyDescent="0.3">
      <c r="A9" s="134"/>
      <c r="B9" s="137">
        <v>1</v>
      </c>
      <c r="C9" s="232" t="s">
        <v>289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  <c r="Q9" s="135"/>
    </row>
    <row r="10" spans="1:17" ht="16.5" x14ac:dyDescent="0.3">
      <c r="A10" s="59"/>
      <c r="B10" s="137">
        <v>2</v>
      </c>
      <c r="C10" s="204" t="s">
        <v>288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/>
    </row>
    <row r="11" spans="1:17" ht="16.5" x14ac:dyDescent="0.3">
      <c r="A11" s="59"/>
      <c r="B11" s="137">
        <v>3</v>
      </c>
      <c r="C11" s="227" t="s">
        <v>196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9"/>
    </row>
    <row r="12" spans="1:17" ht="38.25" customHeight="1" x14ac:dyDescent="0.3">
      <c r="A12" s="59"/>
      <c r="B12" s="137">
        <v>4</v>
      </c>
      <c r="C12" s="240" t="s">
        <v>258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2"/>
    </row>
    <row r="13" spans="1:17" s="61" customFormat="1" ht="18.75" x14ac:dyDescent="0.3">
      <c r="A13" s="58"/>
      <c r="B13" s="138">
        <v>5</v>
      </c>
      <c r="C13" s="234" t="s">
        <v>256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6"/>
    </row>
    <row r="14" spans="1:17" s="61" customFormat="1" ht="18.75" customHeight="1" x14ac:dyDescent="0.2">
      <c r="A14" s="58"/>
      <c r="B14" s="248">
        <v>6</v>
      </c>
      <c r="C14" s="243" t="s">
        <v>199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</row>
    <row r="15" spans="1:17" s="61" customFormat="1" ht="36.75" customHeight="1" x14ac:dyDescent="0.2">
      <c r="A15" s="58"/>
      <c r="B15" s="249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</row>
    <row r="16" spans="1:17" ht="18.75" x14ac:dyDescent="0.3">
      <c r="B16" s="221" t="s">
        <v>135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3"/>
    </row>
    <row r="17" spans="1:16" ht="18.75" x14ac:dyDescent="0.3">
      <c r="A17" s="57"/>
      <c r="B17" s="139"/>
      <c r="C17" s="202" t="s">
        <v>136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3"/>
    </row>
    <row r="18" spans="1:16" ht="18.75" x14ac:dyDescent="0.3">
      <c r="B18" s="221" t="s">
        <v>259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3"/>
    </row>
    <row r="19" spans="1:16" ht="18.75" customHeight="1" x14ac:dyDescent="0.2">
      <c r="A19" s="57"/>
      <c r="B19" s="139"/>
      <c r="C19" s="194" t="s">
        <v>137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5"/>
    </row>
    <row r="20" spans="1:16" ht="18.75" customHeight="1" x14ac:dyDescent="0.2">
      <c r="A20" s="57"/>
      <c r="B20" s="139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5"/>
    </row>
    <row r="21" spans="1:16" ht="18.75" x14ac:dyDescent="0.2">
      <c r="B21" s="224" t="s">
        <v>138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6"/>
    </row>
    <row r="22" spans="1:16" ht="39" customHeight="1" x14ac:dyDescent="0.2">
      <c r="A22" s="57"/>
      <c r="B22" s="139"/>
      <c r="C22" s="230" t="s">
        <v>198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1"/>
    </row>
    <row r="23" spans="1:16" ht="56.25" customHeight="1" x14ac:dyDescent="0.3">
      <c r="B23" s="237" t="s">
        <v>151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</row>
    <row r="24" spans="1:16" ht="73.5" customHeight="1" thickBot="1" x14ac:dyDescent="0.25">
      <c r="B24" s="206" t="s">
        <v>291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8"/>
    </row>
    <row r="25" spans="1:16" ht="18.75" customHeight="1" x14ac:dyDescent="0.2"/>
  </sheetData>
  <sheetProtection password="CC13" sheet="1" objects="1" scenarios="1" selectLockedCells="1"/>
  <mergeCells count="22">
    <mergeCell ref="B24:P24"/>
    <mergeCell ref="B2:P2"/>
    <mergeCell ref="B3:P3"/>
    <mergeCell ref="B4:P4"/>
    <mergeCell ref="B8:P8"/>
    <mergeCell ref="B16:P16"/>
    <mergeCell ref="B21:P21"/>
    <mergeCell ref="C11:P11"/>
    <mergeCell ref="C22:P22"/>
    <mergeCell ref="C9:P9"/>
    <mergeCell ref="C13:P13"/>
    <mergeCell ref="B23:P23"/>
    <mergeCell ref="C12:P12"/>
    <mergeCell ref="C14:P15"/>
    <mergeCell ref="B14:B15"/>
    <mergeCell ref="B18:P18"/>
    <mergeCell ref="C19:P20"/>
    <mergeCell ref="B5:P5"/>
    <mergeCell ref="C7:P7"/>
    <mergeCell ref="C6:P6"/>
    <mergeCell ref="C17:P17"/>
    <mergeCell ref="C10:P10"/>
  </mergeCells>
  <printOptions horizontalCentered="1"/>
  <pageMargins left="0.23622047244094491" right="0.15748031496062992" top="0.39370078740157483" bottom="0.39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6"/>
  <sheetViews>
    <sheetView zoomScale="110" zoomScaleNormal="110" workbookViewId="0">
      <selection activeCell="B5" sqref="B5"/>
    </sheetView>
  </sheetViews>
  <sheetFormatPr defaultColWidth="0" defaultRowHeight="15.75" zeroHeight="1" x14ac:dyDescent="0.25"/>
  <cols>
    <col min="1" max="1" width="57.42578125" style="78" bestFit="1" customWidth="1"/>
    <col min="2" max="2" width="39" style="78" customWidth="1"/>
    <col min="3" max="3" width="30.5703125" style="80" customWidth="1"/>
    <col min="4" max="4" width="30" style="78" customWidth="1"/>
    <col min="5" max="5" width="9" style="78" customWidth="1"/>
    <col min="6" max="6" width="18.28515625" style="78" hidden="1" customWidth="1"/>
    <col min="7" max="8" width="9.140625" style="183" hidden="1" customWidth="1"/>
    <col min="9" max="16384" width="9.140625" style="78" hidden="1"/>
  </cols>
  <sheetData>
    <row r="1" spans="1:12" s="120" customFormat="1" ht="28.5" x14ac:dyDescent="0.25">
      <c r="A1" s="252" t="s">
        <v>217</v>
      </c>
      <c r="B1" s="253"/>
      <c r="C1" s="253"/>
      <c r="D1" s="254"/>
      <c r="G1" s="182" t="s">
        <v>262</v>
      </c>
      <c r="H1" s="182">
        <v>1</v>
      </c>
    </row>
    <row r="2" spans="1:12" s="120" customFormat="1" ht="23.25" x14ac:dyDescent="0.25">
      <c r="A2" s="255" t="s">
        <v>218</v>
      </c>
      <c r="B2" s="256"/>
      <c r="C2" s="256"/>
      <c r="D2" s="257"/>
      <c r="G2" s="182" t="s">
        <v>263</v>
      </c>
      <c r="H2" s="182">
        <v>2</v>
      </c>
    </row>
    <row r="3" spans="1:12" s="120" customFormat="1" ht="18.75" x14ac:dyDescent="0.25">
      <c r="A3" s="106" t="s">
        <v>203</v>
      </c>
      <c r="B3" s="250" t="s">
        <v>215</v>
      </c>
      <c r="C3" s="250"/>
      <c r="D3" s="251"/>
      <c r="G3" s="182" t="s">
        <v>264</v>
      </c>
      <c r="H3" s="182">
        <v>3</v>
      </c>
      <c r="I3" s="185" t="s">
        <v>292</v>
      </c>
      <c r="J3" s="185">
        <f>IF($B$14="YES",0,IF(OR($D$6="Class IV",$J$10&lt;5),0,IF($D$6="State Service",ROUND(GA55A!N15*2/30,0),ROUND(GA55A!N15/30,0))))</f>
        <v>6117</v>
      </c>
      <c r="K3" s="120">
        <v>1</v>
      </c>
      <c r="L3" s="120">
        <f>75600*1/31</f>
        <v>2438.7096774193546</v>
      </c>
    </row>
    <row r="4" spans="1:12" s="120" customFormat="1" ht="18.75" x14ac:dyDescent="0.25">
      <c r="A4" s="106" t="s">
        <v>213</v>
      </c>
      <c r="B4" s="250" t="s">
        <v>251</v>
      </c>
      <c r="C4" s="250"/>
      <c r="D4" s="251"/>
      <c r="G4" s="182" t="s">
        <v>265</v>
      </c>
      <c r="H4" s="182">
        <v>4</v>
      </c>
      <c r="I4" s="185" t="s">
        <v>293</v>
      </c>
      <c r="J4" s="185">
        <f>IF($B$14="YES",0,IF(OR($D$6="Class IV",$J$10&lt;5),0,IF($D$6="State Service",ROUND(GA55A!N16*2/31,0),ROUND(GA55A!N16/31,0))))</f>
        <v>5919</v>
      </c>
      <c r="K4" s="120">
        <v>2</v>
      </c>
      <c r="L4" s="120">
        <f>75600*2/31</f>
        <v>4877.4193548387093</v>
      </c>
    </row>
    <row r="5" spans="1:12" s="120" customFormat="1" ht="18.75" x14ac:dyDescent="0.25">
      <c r="A5" s="106" t="s">
        <v>204</v>
      </c>
      <c r="B5" s="191" t="s">
        <v>81</v>
      </c>
      <c r="C5" s="106" t="s">
        <v>31</v>
      </c>
      <c r="D5" s="181" t="s">
        <v>99</v>
      </c>
      <c r="G5" s="182" t="s">
        <v>266</v>
      </c>
      <c r="H5" s="182">
        <v>5</v>
      </c>
      <c r="I5" s="185" t="s">
        <v>294</v>
      </c>
      <c r="J5" s="185">
        <f>IF($B$14="YES",0,IF(OR($D$6="Class IV",$J$10&lt;5),0,IF($D$6="State Service",ROUND(GA55A!N17*2/30,0),ROUND(GA55A!N17/30,0))))</f>
        <v>6117</v>
      </c>
      <c r="K5" s="120">
        <v>3</v>
      </c>
      <c r="L5" s="120">
        <f>75600*3/31</f>
        <v>7316.1290322580644</v>
      </c>
    </row>
    <row r="6" spans="1:12" s="120" customFormat="1" ht="18.75" x14ac:dyDescent="0.25">
      <c r="A6" s="106" t="s">
        <v>261</v>
      </c>
      <c r="B6" s="180" t="s">
        <v>274</v>
      </c>
      <c r="C6" s="81" t="s">
        <v>221</v>
      </c>
      <c r="D6" s="186" t="s">
        <v>220</v>
      </c>
      <c r="G6" s="182" t="s">
        <v>267</v>
      </c>
      <c r="H6" s="182">
        <v>6</v>
      </c>
      <c r="I6" s="185" t="s">
        <v>295</v>
      </c>
      <c r="J6" s="185">
        <f>IF($B$14="YES",0,IF(OR($D$6="Class IV",$J$10&lt;5),0,IF($D$6="State Service",ROUND(GA55A!N18*2/31,0),ROUND(GA55A!N18/31,0))))</f>
        <v>5919</v>
      </c>
      <c r="K6" s="120">
        <v>5</v>
      </c>
      <c r="L6" s="120">
        <f>75600*5/31</f>
        <v>12193.548387096775</v>
      </c>
    </row>
    <row r="7" spans="1:12" s="120" customFormat="1" ht="18.75" x14ac:dyDescent="0.25">
      <c r="A7" s="106" t="s">
        <v>214</v>
      </c>
      <c r="B7" s="180" t="s">
        <v>253</v>
      </c>
      <c r="C7" s="81" t="s">
        <v>205</v>
      </c>
      <c r="D7" s="190" t="s">
        <v>300</v>
      </c>
      <c r="F7" s="121" t="s">
        <v>223</v>
      </c>
      <c r="G7" s="182" t="s">
        <v>268</v>
      </c>
      <c r="H7" s="182">
        <v>7</v>
      </c>
      <c r="I7" s="185" t="s">
        <v>296</v>
      </c>
      <c r="J7" s="185">
        <f>IF($B$14="YES",0,IF(OR($D$6="Class IV",$J$10&lt;5),0,IF($D$6="State Service",ROUND(GA55A!N19*2/31,0),ROUND(GA55A!N19/31,0))))</f>
        <v>5919</v>
      </c>
    </row>
    <row r="8" spans="1:12" s="120" customFormat="1" ht="16.5" x14ac:dyDescent="0.25">
      <c r="A8" s="108" t="s">
        <v>207</v>
      </c>
      <c r="B8" s="180" t="s">
        <v>254</v>
      </c>
      <c r="C8" s="82" t="s">
        <v>206</v>
      </c>
      <c r="D8" s="188" t="s">
        <v>255</v>
      </c>
      <c r="F8" s="121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34500</v>
      </c>
      <c r="G8" s="182" t="s">
        <v>269</v>
      </c>
      <c r="H8" s="182">
        <v>8</v>
      </c>
      <c r="I8" s="185" t="s">
        <v>297</v>
      </c>
      <c r="J8" s="185">
        <f>IF($B$14="YES",0,IF(OR($D$6="Class IV",$J$10&lt;5),0,IF($D$6="State Service",ROUND(GA55A!N20*2/28,0),ROUND(GA55A!N20/28,0))))</f>
        <v>6554</v>
      </c>
    </row>
    <row r="9" spans="1:12" s="120" customFormat="1" ht="18.75" x14ac:dyDescent="0.25">
      <c r="A9" s="106" t="s">
        <v>208</v>
      </c>
      <c r="B9" s="84">
        <v>7000</v>
      </c>
      <c r="C9" s="82" t="s">
        <v>143</v>
      </c>
      <c r="D9" s="107" t="s">
        <v>252</v>
      </c>
      <c r="G9" s="182" t="s">
        <v>270</v>
      </c>
      <c r="H9" s="182">
        <v>9</v>
      </c>
    </row>
    <row r="10" spans="1:12" s="120" customFormat="1" ht="18.75" x14ac:dyDescent="0.25">
      <c r="A10" s="106" t="s">
        <v>248</v>
      </c>
      <c r="B10" s="84">
        <v>71300</v>
      </c>
      <c r="C10" s="82" t="s">
        <v>210</v>
      </c>
      <c r="D10" s="109">
        <v>0.08</v>
      </c>
      <c r="F10" s="121" t="s">
        <v>222</v>
      </c>
      <c r="G10" s="182" t="s">
        <v>271</v>
      </c>
      <c r="H10" s="182">
        <v>10</v>
      </c>
      <c r="J10" s="184">
        <f>VLOOKUP(B6,G1:H26,2,FALSE)</f>
        <v>13</v>
      </c>
    </row>
    <row r="11" spans="1:12" s="120" customFormat="1" ht="18.75" x14ac:dyDescent="0.3">
      <c r="A11" s="130" t="s">
        <v>249</v>
      </c>
      <c r="B11" s="180" t="s">
        <v>306</v>
      </c>
      <c r="C11" s="83" t="s">
        <v>209</v>
      </c>
      <c r="D11" s="181" t="s">
        <v>246</v>
      </c>
      <c r="F11" s="121">
        <f>IF(B14="YES",0,IF(D6="State Service",ROUND(B10*5/31,0),IF(AND(D6="Subordinate",J10&lt;10),ROUND(B10*2/31,0),IF(AND(D6="Subordinate",OR(J10&lt;5,J10&gt;9)),ROUND(B10*3/31,0),IF(D6="Ministerial",ROUND(B10*2/31,0),IF(OR(D6="Class IV",J10&lt;5),ROUND(B10/31,0),""))))))</f>
        <v>11500</v>
      </c>
      <c r="G11" s="182" t="s">
        <v>272</v>
      </c>
      <c r="H11" s="182">
        <v>11</v>
      </c>
    </row>
    <row r="12" spans="1:12" s="120" customFormat="1" ht="18.75" x14ac:dyDescent="0.3">
      <c r="A12" s="110" t="s">
        <v>224</v>
      </c>
      <c r="B12" s="180" t="s">
        <v>246</v>
      </c>
      <c r="C12" s="81" t="s">
        <v>212</v>
      </c>
      <c r="D12" s="181" t="s">
        <v>299</v>
      </c>
      <c r="G12" s="182" t="s">
        <v>273</v>
      </c>
      <c r="H12" s="182">
        <v>12</v>
      </c>
    </row>
    <row r="13" spans="1:12" s="120" customFormat="1" ht="18.75" x14ac:dyDescent="0.3">
      <c r="A13" s="110" t="s">
        <v>225</v>
      </c>
      <c r="B13" s="187" t="s">
        <v>246</v>
      </c>
      <c r="C13" s="81" t="s">
        <v>212</v>
      </c>
      <c r="D13" s="181" t="s">
        <v>299</v>
      </c>
      <c r="G13" s="182" t="s">
        <v>274</v>
      </c>
      <c r="H13" s="182">
        <v>13</v>
      </c>
    </row>
    <row r="14" spans="1:12" s="120" customFormat="1" ht="19.5" thickBot="1" x14ac:dyDescent="0.35">
      <c r="A14" s="111" t="s">
        <v>211</v>
      </c>
      <c r="B14" s="112" t="s">
        <v>246</v>
      </c>
      <c r="C14" s="113" t="s">
        <v>216</v>
      </c>
      <c r="D14" s="114" t="str">
        <f>IF(B10&gt;0,IF(B10&lt;26000,"E",IF(B10&lt;39000,"D",IF(B10&lt;49000,"C",IF(B10&lt;95000,"B","A")))),"")</f>
        <v>B</v>
      </c>
      <c r="G14" s="182" t="s">
        <v>275</v>
      </c>
      <c r="H14" s="182">
        <v>14</v>
      </c>
    </row>
    <row r="15" spans="1:12" s="120" customFormat="1" ht="18.75" x14ac:dyDescent="0.3">
      <c r="A15" s="122"/>
      <c r="C15" s="123"/>
      <c r="G15" s="182" t="s">
        <v>276</v>
      </c>
      <c r="H15" s="182">
        <v>15</v>
      </c>
    </row>
    <row r="16" spans="1:12" ht="18.75" hidden="1" x14ac:dyDescent="0.3">
      <c r="A16" s="79"/>
      <c r="G16" s="182" t="s">
        <v>277</v>
      </c>
      <c r="H16" s="182">
        <v>16</v>
      </c>
    </row>
    <row r="17" spans="1:8" ht="18.75" hidden="1" x14ac:dyDescent="0.3">
      <c r="A17" s="79"/>
      <c r="G17" s="182" t="s">
        <v>278</v>
      </c>
      <c r="H17" s="182">
        <v>17</v>
      </c>
    </row>
    <row r="18" spans="1:8" ht="18.75" hidden="1" x14ac:dyDescent="0.3">
      <c r="A18" s="79"/>
      <c r="B18" s="78" t="str">
        <f>IF(D6="STATE SERVICE","A",IF(D6="SUBORDINATE","B",IF(D6="MINISTERIAL","C","D")))</f>
        <v>A</v>
      </c>
      <c r="G18" s="182" t="s">
        <v>279</v>
      </c>
      <c r="H18" s="182">
        <v>18</v>
      </c>
    </row>
    <row r="19" spans="1:8" ht="18.75" hidden="1" x14ac:dyDescent="0.3">
      <c r="A19" s="79"/>
      <c r="G19" s="182" t="s">
        <v>280</v>
      </c>
      <c r="H19" s="182">
        <v>19</v>
      </c>
    </row>
    <row r="20" spans="1:8" hidden="1" x14ac:dyDescent="0.25">
      <c r="G20" s="182" t="s">
        <v>281</v>
      </c>
      <c r="H20" s="182">
        <v>20</v>
      </c>
    </row>
    <row r="21" spans="1:8" hidden="1" x14ac:dyDescent="0.25">
      <c r="G21" s="182" t="s">
        <v>282</v>
      </c>
      <c r="H21" s="182">
        <v>21</v>
      </c>
    </row>
    <row r="22" spans="1:8" hidden="1" x14ac:dyDescent="0.25">
      <c r="G22" s="182" t="s">
        <v>283</v>
      </c>
      <c r="H22" s="182">
        <v>22</v>
      </c>
    </row>
    <row r="23" spans="1:8" hidden="1" x14ac:dyDescent="0.25">
      <c r="G23" s="182" t="s">
        <v>284</v>
      </c>
      <c r="H23" s="182">
        <v>23</v>
      </c>
    </row>
    <row r="24" spans="1:8" hidden="1" x14ac:dyDescent="0.25">
      <c r="G24" s="182" t="s">
        <v>285</v>
      </c>
      <c r="H24" s="182">
        <v>24</v>
      </c>
    </row>
    <row r="25" spans="1:8" hidden="1" x14ac:dyDescent="0.25">
      <c r="G25" s="182" t="s">
        <v>286</v>
      </c>
      <c r="H25" s="182">
        <v>25</v>
      </c>
    </row>
    <row r="26" spans="1:8" hidden="1" x14ac:dyDescent="0.25">
      <c r="G26" s="182" t="s">
        <v>287</v>
      </c>
      <c r="H26" s="182">
        <v>26</v>
      </c>
    </row>
  </sheetData>
  <sheetProtection algorithmName="SHA-512" hashValue="v0lJWYlwak0G3NgfJWP59VmR1mQgE9Lk2ZT+i7bfyUzHlZcmWWNWuvjYhZXdYcmdaSqiGvidzsEIlbg5jzcSQQ==" saltValue="A5uWXxFZEUP6e0VI3GXVxA==" spinCount="100000" sheet="1" objects="1" scenarios="1" selectLockedCells="1"/>
  <mergeCells count="4">
    <mergeCell ref="B3:D3"/>
    <mergeCell ref="B4:D4"/>
    <mergeCell ref="A1:D1"/>
    <mergeCell ref="A2:D2"/>
  </mergeCells>
  <dataValidations count="5">
    <dataValidation type="list" allowBlank="1" showInputMessage="1" showErrorMessage="1" sqref="D11 B11:B14" xr:uid="{00000000-0002-0000-0100-000000000000}">
      <formula1>"YES,NO"</formula1>
    </dataValidation>
    <dataValidation type="list" allowBlank="1" showInputMessage="1" showErrorMessage="1" sqref="D10" xr:uid="{00000000-0002-0000-0100-000001000000}">
      <formula1>"NA,8%,16%"</formula1>
    </dataValidation>
    <dataValidation type="list" allowBlank="1" showInputMessage="1" showErrorMessage="1" sqref="D12:D13" xr:uid="{00000000-0002-0000-0100-000002000000}">
      <formula1>"NA,4,5,6,7,8,9,10,11,12,1,2,3,"</formula1>
    </dataValidation>
    <dataValidation type="list" allowBlank="1" showInputMessage="1" showErrorMessage="1" sqref="D6" xr:uid="{00000000-0002-0000-0100-000003000000}">
      <formula1>"State Service, Subordinate,Ministerial,Class IV"</formula1>
    </dataValidation>
    <dataValidation type="list" allowBlank="1" showInputMessage="1" showErrorMessage="1" sqref="B6" xr:uid="{00000000-0002-0000-0100-000004000000}">
      <formula1>$G$1:$G$26</formula1>
    </dataValidation>
  </dataValidations>
  <printOptions horizontalCentered="1" verticalCentered="1"/>
  <pageMargins left="0.15748031496062992" right="0.2362204724409449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FF"/>
  </sheetPr>
  <dimension ref="A1:AE37"/>
  <sheetViews>
    <sheetView showGridLines="0" zoomScale="90" zoomScaleNormal="90" zoomScaleSheetLayoutView="80" workbookViewId="0">
      <pane xSplit="3" ySplit="8" topLeftCell="D9" activePane="bottomRight" state="frozen"/>
      <selection pane="topRight" activeCell="B1" sqref="B1"/>
      <selection pane="bottomLeft" activeCell="A5" sqref="A5"/>
      <selection pane="bottomRight" activeCell="AC1" sqref="AC1"/>
    </sheetView>
  </sheetViews>
  <sheetFormatPr defaultColWidth="9.140625" defaultRowHeight="12.75" zeroHeight="1" x14ac:dyDescent="0.2"/>
  <cols>
    <col min="1" max="1" width="0.42578125" style="36" customWidth="1"/>
    <col min="2" max="2" width="5.140625" style="4" hidden="1" customWidth="1"/>
    <col min="3" max="3" width="14.140625" style="4" customWidth="1"/>
    <col min="4" max="4" width="8.42578125" style="4" customWidth="1"/>
    <col min="5" max="7" width="5" style="4" customWidth="1"/>
    <col min="8" max="8" width="7.85546875" style="4" customWidth="1"/>
    <col min="9" max="9" width="6.85546875" style="4" customWidth="1"/>
    <col min="10" max="10" width="5" style="4" customWidth="1"/>
    <col min="11" max="13" width="6" style="4" customWidth="1"/>
    <col min="14" max="14" width="8.42578125" style="4" customWidth="1"/>
    <col min="15" max="15" width="7" style="4" customWidth="1"/>
    <col min="16" max="16" width="5.85546875" style="4" customWidth="1"/>
    <col min="17" max="18" width="5.7109375" style="4" customWidth="1"/>
    <col min="19" max="19" width="7.140625" style="4" bestFit="1" customWidth="1"/>
    <col min="20" max="20" width="4.85546875" style="4" customWidth="1"/>
    <col min="21" max="21" width="6.85546875" style="4" customWidth="1"/>
    <col min="22" max="22" width="6.42578125" style="4" customWidth="1"/>
    <col min="23" max="23" width="7.140625" style="4" bestFit="1" customWidth="1"/>
    <col min="24" max="24" width="7.42578125" style="4" customWidth="1"/>
    <col min="25" max="25" width="4.42578125" style="4" bestFit="1" customWidth="1"/>
    <col min="26" max="27" width="6.28515625" style="4" customWidth="1"/>
    <col min="28" max="28" width="11" style="4" customWidth="1"/>
    <col min="29" max="29" width="12" style="4" customWidth="1"/>
    <col min="30" max="30" width="18.5703125" style="4" customWidth="1"/>
    <col min="31" max="31" width="0.42578125" style="36" customWidth="1"/>
    <col min="32" max="35" width="9.140625" style="4" customWidth="1"/>
    <col min="36" max="16384" width="9.140625" style="4"/>
  </cols>
  <sheetData>
    <row r="1" spans="1:31" ht="38.25" customHeight="1" thickBot="1" x14ac:dyDescent="0.25">
      <c r="C1" s="258" t="s">
        <v>305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192"/>
      <c r="AB1" s="192"/>
      <c r="AC1" s="422" t="s">
        <v>306</v>
      </c>
      <c r="AD1" s="192"/>
    </row>
    <row r="2" spans="1:31" ht="2.25" customHeight="1" x14ac:dyDescent="0.35">
      <c r="C2" s="29"/>
      <c r="D2" s="30"/>
      <c r="E2" s="30"/>
      <c r="F2" s="30"/>
      <c r="G2" s="30"/>
      <c r="H2" s="30"/>
      <c r="I2" s="30"/>
      <c r="J2" s="30"/>
      <c r="K2" s="30"/>
      <c r="L2" s="31"/>
      <c r="M2" s="31"/>
      <c r="N2" s="32"/>
      <c r="O2" s="32"/>
      <c r="P2" s="32"/>
      <c r="Q2" s="32"/>
      <c r="R2" s="32"/>
      <c r="S2" s="32"/>
      <c r="T2" s="32"/>
      <c r="U2" s="33"/>
      <c r="V2" s="30"/>
      <c r="W2" s="34"/>
      <c r="X2" s="34"/>
      <c r="Y2" s="34"/>
      <c r="Z2" s="34"/>
      <c r="AA2" s="34"/>
      <c r="AB2" s="35"/>
      <c r="AC2" s="36"/>
      <c r="AD2" s="36"/>
    </row>
    <row r="3" spans="1:31" ht="27" x14ac:dyDescent="0.2">
      <c r="C3" s="265" t="str">
        <f>IF(Master!B3="","",CONCATENATE("Office of the"," ",Master!B3))</f>
        <v>Office of the Principal, Govt. Sr. Secondary School Todaraisingh (Tonk)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</row>
    <row r="4" spans="1:31" ht="22.5" x14ac:dyDescent="0.2">
      <c r="C4" s="266" t="s">
        <v>200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</row>
    <row r="5" spans="1:31" ht="6.75" customHeight="1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</row>
    <row r="6" spans="1:31" s="20" customFormat="1" ht="17.100000000000001" customHeight="1" x14ac:dyDescent="0.2">
      <c r="A6" s="39"/>
      <c r="C6" s="102" t="s">
        <v>30</v>
      </c>
      <c r="D6" s="270" t="str">
        <f>IF(Master!B5="","",Master!B5)</f>
        <v>Chandra Prakash Kurmi</v>
      </c>
      <c r="E6" s="270"/>
      <c r="F6" s="270"/>
      <c r="G6" s="270"/>
      <c r="H6" s="270"/>
      <c r="I6" s="260" t="s">
        <v>226</v>
      </c>
      <c r="J6" s="260"/>
      <c r="K6" s="269" t="str">
        <f>IF(Master!D5="","",CONCATENATE(Master!D5," ","(",Master!B6,")"))</f>
        <v>Lecturer (L-13)</v>
      </c>
      <c r="L6" s="269"/>
      <c r="M6" s="269"/>
      <c r="N6" s="269"/>
      <c r="O6" s="102" t="s">
        <v>29</v>
      </c>
      <c r="P6" s="260" t="str">
        <f>IF(Master!B7="","",Master!B7)</f>
        <v>AAAAAXXXXA</v>
      </c>
      <c r="Q6" s="260"/>
      <c r="R6" s="260"/>
      <c r="S6" s="260"/>
      <c r="T6" s="103"/>
      <c r="U6" s="102" t="s">
        <v>126</v>
      </c>
      <c r="V6" s="260" t="str">
        <f>IF(Master!B4="","",Master!B4)</f>
        <v>AAAAXXXXXA</v>
      </c>
      <c r="W6" s="260"/>
      <c r="X6" s="260"/>
      <c r="Y6" s="189"/>
      <c r="Z6" s="104"/>
      <c r="AA6" s="268" t="s">
        <v>90</v>
      </c>
      <c r="AB6" s="268"/>
      <c r="AC6" s="267" t="str">
        <f>IF(Master!D7="","",Master!D7)</f>
        <v>9XXXXXXXXXXXXX9</v>
      </c>
      <c r="AD6" s="267"/>
      <c r="AE6" s="39"/>
    </row>
    <row r="7" spans="1:31" s="20" customFormat="1" ht="17.100000000000001" customHeight="1" thickBot="1" x14ac:dyDescent="0.25">
      <c r="A7" s="39"/>
      <c r="C7" s="102"/>
      <c r="D7" s="270"/>
      <c r="E7" s="270"/>
      <c r="F7" s="270"/>
      <c r="G7" s="270"/>
      <c r="H7" s="270"/>
      <c r="I7" s="263" t="s">
        <v>142</v>
      </c>
      <c r="J7" s="263"/>
      <c r="K7" s="260" t="str">
        <f>IF(Master!B8="","",Master!B8)</f>
        <v>74XXX7</v>
      </c>
      <c r="L7" s="260"/>
      <c r="M7" s="260"/>
      <c r="N7" s="263" t="str">
        <f>IF(Master!B11="NO","GPF No:","Pran No:")</f>
        <v>Pran No:</v>
      </c>
      <c r="O7" s="263"/>
      <c r="P7" s="263"/>
      <c r="Q7" s="264" t="str">
        <f>IF(Master!D8="","",Master!D8)</f>
        <v>84XXX8</v>
      </c>
      <c r="R7" s="264"/>
      <c r="S7" s="264"/>
      <c r="T7" s="264"/>
      <c r="U7" s="165"/>
      <c r="X7" s="103"/>
      <c r="Y7" s="103"/>
      <c r="Z7" s="103"/>
      <c r="AA7" s="261" t="s">
        <v>143</v>
      </c>
      <c r="AB7" s="261"/>
      <c r="AC7" s="262" t="str">
        <f>IF(Master!D9="","",Master!D9)</f>
        <v>9XXXXXXXX1</v>
      </c>
      <c r="AD7" s="262"/>
      <c r="AE7" s="39"/>
    </row>
    <row r="8" spans="1:31" s="86" customFormat="1" ht="114.75" customHeight="1" x14ac:dyDescent="0.2">
      <c r="A8" s="85"/>
      <c r="C8" s="166" t="s">
        <v>14</v>
      </c>
      <c r="D8" s="167" t="s">
        <v>2</v>
      </c>
      <c r="E8" s="168" t="s">
        <v>3</v>
      </c>
      <c r="F8" s="168" t="s">
        <v>82</v>
      </c>
      <c r="G8" s="168" t="s">
        <v>24</v>
      </c>
      <c r="H8" s="167" t="s">
        <v>25</v>
      </c>
      <c r="I8" s="167" t="s">
        <v>130</v>
      </c>
      <c r="J8" s="168" t="s">
        <v>87</v>
      </c>
      <c r="K8" s="168" t="s">
        <v>124</v>
      </c>
      <c r="L8" s="168" t="s">
        <v>127</v>
      </c>
      <c r="M8" s="168" t="s">
        <v>128</v>
      </c>
      <c r="N8" s="167" t="s">
        <v>85</v>
      </c>
      <c r="O8" s="167" t="str">
        <f>IF(Master!B11="No","GPF","Emp. C.Pen.F.")</f>
        <v>Emp. C.Pen.F.</v>
      </c>
      <c r="P8" s="169" t="str">
        <f>IF(Master!B11="No","GPF LOAN","GPF 2004")</f>
        <v>GPF 2004</v>
      </c>
      <c r="Q8" s="167" t="s">
        <v>15</v>
      </c>
      <c r="R8" s="169" t="s">
        <v>219</v>
      </c>
      <c r="S8" s="167" t="s">
        <v>1</v>
      </c>
      <c r="T8" s="167" t="s">
        <v>16</v>
      </c>
      <c r="U8" s="167" t="s">
        <v>6</v>
      </c>
      <c r="V8" s="167" t="s">
        <v>123</v>
      </c>
      <c r="W8" s="169" t="s">
        <v>80</v>
      </c>
      <c r="X8" s="169" t="s">
        <v>222</v>
      </c>
      <c r="Y8" s="168" t="s">
        <v>298</v>
      </c>
      <c r="Z8" s="168" t="s">
        <v>301</v>
      </c>
      <c r="AA8" s="168" t="s">
        <v>302</v>
      </c>
      <c r="AB8" s="167" t="s">
        <v>84</v>
      </c>
      <c r="AC8" s="167" t="s">
        <v>125</v>
      </c>
      <c r="AD8" s="170" t="s">
        <v>86</v>
      </c>
      <c r="AE8" s="85"/>
    </row>
    <row r="9" spans="1:31" s="17" customFormat="1" ht="18" customHeight="1" x14ac:dyDescent="0.2">
      <c r="A9" s="40"/>
      <c r="B9" s="17">
        <v>3</v>
      </c>
      <c r="C9" s="171">
        <v>43891</v>
      </c>
      <c r="D9" s="143">
        <f>Master!F8</f>
        <v>34500</v>
      </c>
      <c r="E9" s="144">
        <v>0</v>
      </c>
      <c r="F9" s="144">
        <v>0</v>
      </c>
      <c r="G9" s="144">
        <v>0</v>
      </c>
      <c r="H9" s="144">
        <f t="shared" ref="H9:H20" si="0">ROUND(17%*D9,0)</f>
        <v>5865</v>
      </c>
      <c r="I9" s="144">
        <f>IF(Master!$D$10="NA",0,IF(Master!$D$10=8%,ROUND(0.08*D9,0),ROUND(0.16*D9,0)))</f>
        <v>2760</v>
      </c>
      <c r="J9" s="144">
        <v>0</v>
      </c>
      <c r="K9" s="144">
        <v>0</v>
      </c>
      <c r="L9" s="144">
        <v>0</v>
      </c>
      <c r="M9" s="144">
        <v>0</v>
      </c>
      <c r="N9" s="145">
        <f>SUM(D9:M9)</f>
        <v>43125</v>
      </c>
      <c r="O9" s="144">
        <f>IF(Master!B11="YES",TRUNC((D9+H9)*0.1,0),IF(OR(Master!B18="A",Master!B18="B",Master!B18="C"),0,IF(D10&lt;23101,1450,IF(D10&lt;28501,1625,IF(D10&lt;38501,2100,IF(D10&lt;51501,2850,IF(D10&lt;62001,3575,IF(D10&lt;72001,4200,IF(D10&lt;80001,4800,IF(D10&lt;116001,6150,IF(D10&lt;167001,8900,10500)))))))))))</f>
        <v>4036</v>
      </c>
      <c r="P9" s="144">
        <v>0</v>
      </c>
      <c r="Q9" s="144">
        <f>IF(Master!D6="Class IV",Master!B9,0)</f>
        <v>0</v>
      </c>
      <c r="R9" s="144"/>
      <c r="S9" s="144">
        <v>0</v>
      </c>
      <c r="T9" s="144">
        <f>IF(Master!$B$11="No",IF(Master!B10&lt;18001,242,IF(Master!B10&lt;33501,402,IF(Master!B10&lt;54001,602,800))),0)</f>
        <v>0</v>
      </c>
      <c r="U9" s="144">
        <v>2000</v>
      </c>
      <c r="V9" s="144">
        <v>0</v>
      </c>
      <c r="W9" s="144">
        <v>5000</v>
      </c>
      <c r="X9" s="144">
        <f>Master!F11</f>
        <v>11500</v>
      </c>
      <c r="Y9" s="144"/>
      <c r="Z9" s="144"/>
      <c r="AA9" s="146"/>
      <c r="AB9" s="147">
        <f t="shared" ref="AB9:AB29" si="1">SUM(O9:AA9)</f>
        <v>22536</v>
      </c>
      <c r="AC9" s="148">
        <f t="shared" ref="AC9:AC29" si="2">N9-AB9</f>
        <v>20589</v>
      </c>
      <c r="AD9" s="172"/>
      <c r="AE9" s="40"/>
    </row>
    <row r="10" spans="1:31" s="17" customFormat="1" ht="18" customHeight="1" x14ac:dyDescent="0.2">
      <c r="A10" s="40"/>
      <c r="B10" s="17">
        <v>4</v>
      </c>
      <c r="C10" s="171">
        <v>43922</v>
      </c>
      <c r="D10" s="143">
        <f>Master!B10</f>
        <v>71300</v>
      </c>
      <c r="E10" s="144">
        <f>IF(E$9=0,0,ROUND(D10/2,0))</f>
        <v>0</v>
      </c>
      <c r="F10" s="144">
        <f t="shared" ref="F10:G15" si="3">IF(F$9=0,0,F9)</f>
        <v>0</v>
      </c>
      <c r="G10" s="144">
        <f t="shared" si="3"/>
        <v>0</v>
      </c>
      <c r="H10" s="144">
        <f t="shared" si="0"/>
        <v>12121</v>
      </c>
      <c r="I10" s="144">
        <f>IF(Master!$D$10="NA",0,IF(Master!$D$10=8%,ROUND(0.08*D10,0),ROUND(0.16*D10,0)))</f>
        <v>5704</v>
      </c>
      <c r="J10" s="144">
        <f t="shared" ref="J10:J20" si="4">IF(J$9=0,0,J9)</f>
        <v>0</v>
      </c>
      <c r="K10" s="144">
        <f t="shared" ref="K10:L20" si="5">IF(K$9=0,0,K9)</f>
        <v>0</v>
      </c>
      <c r="L10" s="144">
        <f t="shared" si="5"/>
        <v>0</v>
      </c>
      <c r="M10" s="144">
        <f t="shared" ref="M10:M20" si="6">IF(M$9=0,0,M9)</f>
        <v>0</v>
      </c>
      <c r="N10" s="145">
        <f t="shared" ref="N10:N29" si="7">SUM(D10:M10)</f>
        <v>89125</v>
      </c>
      <c r="O10" s="144">
        <f>IF(Master!$B$11="Yes",ROUND((D10+H10)*0.1,0),IF(D10&lt;23101,1450,IF(D10&lt;28501,1625,IF(D10&lt;38501,2100,IF(D10&lt;51501,2850,IF(D10&lt;62001,3575,IF(D10&lt;72001,4200,IF(D10&lt;80001,4800,IF(D10&lt;116001,6150,IF(D10&lt;167001,8900,10500))))))))))</f>
        <v>8342</v>
      </c>
      <c r="P10" s="144">
        <f>P9</f>
        <v>0</v>
      </c>
      <c r="Q10" s="144">
        <f>Master!B9</f>
        <v>7000</v>
      </c>
      <c r="R10" s="144"/>
      <c r="S10" s="144"/>
      <c r="T10" s="144">
        <f>IF(Master!$B$11="No",IF(D10&lt;18001,242,IF(D10&lt;33501,402,IF(D10&lt;54001,602,800))),0)</f>
        <v>0</v>
      </c>
      <c r="U10" s="144">
        <f>U9</f>
        <v>2000</v>
      </c>
      <c r="V10" s="144">
        <v>220</v>
      </c>
      <c r="W10" s="144">
        <f>W9</f>
        <v>5000</v>
      </c>
      <c r="X10" s="144"/>
      <c r="Y10" s="144">
        <f>Y9</f>
        <v>0</v>
      </c>
      <c r="Z10" s="144">
        <f t="shared" ref="Z10:AA20" si="8">Z9</f>
        <v>0</v>
      </c>
      <c r="AA10" s="144">
        <f t="shared" si="8"/>
        <v>0</v>
      </c>
      <c r="AB10" s="147">
        <f t="shared" si="1"/>
        <v>22562</v>
      </c>
      <c r="AC10" s="148">
        <f t="shared" si="2"/>
        <v>66563</v>
      </c>
      <c r="AD10" s="172"/>
      <c r="AE10" s="40"/>
    </row>
    <row r="11" spans="1:31" s="17" customFormat="1" ht="18" customHeight="1" x14ac:dyDescent="0.2">
      <c r="A11" s="40"/>
      <c r="B11" s="17">
        <v>5</v>
      </c>
      <c r="C11" s="171">
        <v>43952</v>
      </c>
      <c r="D11" s="143">
        <f t="shared" ref="D11:D12" si="9">D10</f>
        <v>71300</v>
      </c>
      <c r="E11" s="144">
        <f t="shared" ref="E11:E20" si="10">IF($E$9=0,0,ROUND(D11/2,0))</f>
        <v>0</v>
      </c>
      <c r="F11" s="144">
        <f t="shared" si="3"/>
        <v>0</v>
      </c>
      <c r="G11" s="144">
        <f t="shared" si="3"/>
        <v>0</v>
      </c>
      <c r="H11" s="144">
        <f t="shared" si="0"/>
        <v>12121</v>
      </c>
      <c r="I11" s="144">
        <f>IF(Master!$D$10="NA",0,IF(Master!$D$10=8%,ROUND(0.08*D11,0),ROUND(0.16*D11,0)))</f>
        <v>5704</v>
      </c>
      <c r="J11" s="144">
        <f t="shared" si="4"/>
        <v>0</v>
      </c>
      <c r="K11" s="144">
        <f t="shared" ref="K11" si="11">IF(K$9=0,0,K10)</f>
        <v>0</v>
      </c>
      <c r="L11" s="144">
        <f>IF(L$9=0,0,L10)</f>
        <v>0</v>
      </c>
      <c r="M11" s="144">
        <f t="shared" si="6"/>
        <v>0</v>
      </c>
      <c r="N11" s="145">
        <f t="shared" si="7"/>
        <v>89125</v>
      </c>
      <c r="O11" s="144">
        <f>IF(Master!$B$11="Yes",ROUND((D11+H11)*0.1,0),IF(D11&lt;23101,1450,IF(D11&lt;28501,1625,IF(D11&lt;38501,2100,IF(D11&lt;51501,2850,IF(D11&lt;62001,3575,IF(D11&lt;72001,4200,IF(D11&lt;80001,4800,IF(D11&lt;116001,6150,IF(D11&lt;167001,8900,10500))))))))))</f>
        <v>8342</v>
      </c>
      <c r="P11" s="144">
        <f t="shared" ref="P11:P20" si="12">P10</f>
        <v>0</v>
      </c>
      <c r="Q11" s="144">
        <f t="shared" ref="Q11:Q20" si="13">Q10</f>
        <v>7000</v>
      </c>
      <c r="R11" s="144">
        <f>IF(Master!D6= "Class IV","",Q11)</f>
        <v>7000</v>
      </c>
      <c r="S11" s="144">
        <f t="shared" ref="S11:S20" si="14">S10</f>
        <v>0</v>
      </c>
      <c r="T11" s="144">
        <f>IF(Master!$B$11="No",IF(D11&lt;18001,288,IF(D11&lt;33501,478,IF(D11&lt;54001,714,950))),0)</f>
        <v>0</v>
      </c>
      <c r="U11" s="144">
        <f t="shared" ref="U11:U20" si="15">U10</f>
        <v>2000</v>
      </c>
      <c r="V11" s="144">
        <v>0</v>
      </c>
      <c r="W11" s="144">
        <f t="shared" ref="W11:W20" si="16">W10</f>
        <v>5000</v>
      </c>
      <c r="X11" s="144"/>
      <c r="Y11" s="144">
        <f t="shared" ref="Y11:Y17" si="17">Y10</f>
        <v>0</v>
      </c>
      <c r="Z11" s="144">
        <f t="shared" si="8"/>
        <v>0</v>
      </c>
      <c r="AA11" s="144">
        <f t="shared" si="8"/>
        <v>0</v>
      </c>
      <c r="AB11" s="147">
        <f t="shared" si="1"/>
        <v>29342</v>
      </c>
      <c r="AC11" s="148">
        <f t="shared" si="2"/>
        <v>59783</v>
      </c>
      <c r="AD11" s="172"/>
      <c r="AE11" s="40"/>
    </row>
    <row r="12" spans="1:31" s="17" customFormat="1" ht="18" customHeight="1" x14ac:dyDescent="0.2">
      <c r="A12" s="40"/>
      <c r="B12" s="17">
        <v>6</v>
      </c>
      <c r="C12" s="171">
        <v>43983</v>
      </c>
      <c r="D12" s="143">
        <f t="shared" si="9"/>
        <v>71300</v>
      </c>
      <c r="E12" s="144">
        <f t="shared" si="10"/>
        <v>0</v>
      </c>
      <c r="F12" s="144">
        <f t="shared" si="3"/>
        <v>0</v>
      </c>
      <c r="G12" s="144">
        <f t="shared" si="3"/>
        <v>0</v>
      </c>
      <c r="H12" s="144">
        <f t="shared" si="0"/>
        <v>12121</v>
      </c>
      <c r="I12" s="144">
        <f>IF(Master!$D$10="NA",0,IF(Master!$D$10=8%,ROUND(0.08*D12,0),ROUND(0.16*D12,0)))</f>
        <v>5704</v>
      </c>
      <c r="J12" s="144">
        <f t="shared" si="4"/>
        <v>0</v>
      </c>
      <c r="K12" s="144">
        <f t="shared" si="5"/>
        <v>0</v>
      </c>
      <c r="L12" s="144">
        <f t="shared" si="5"/>
        <v>0</v>
      </c>
      <c r="M12" s="144">
        <f t="shared" si="6"/>
        <v>0</v>
      </c>
      <c r="N12" s="145">
        <f t="shared" si="7"/>
        <v>89125</v>
      </c>
      <c r="O12" s="144">
        <f>IF(Master!$B$11="Yes",ROUND((D12+H12)*0.1,0),IF(D12&lt;23101,1450,IF(D12&lt;28501,1625,IF(D12&lt;38501,2100,IF(D12&lt;51501,2850,IF(D12&lt;62001,3575,IF(D12&lt;72001,4200,IF(D12&lt;80001,4800,IF(D12&lt;116001,6150,IF(D12&lt;167001,8900,10500))))))))))</f>
        <v>8342</v>
      </c>
      <c r="P12" s="144">
        <f t="shared" si="12"/>
        <v>0</v>
      </c>
      <c r="Q12" s="144">
        <f t="shared" si="13"/>
        <v>7000</v>
      </c>
      <c r="R12" s="144"/>
      <c r="S12" s="144">
        <f t="shared" si="14"/>
        <v>0</v>
      </c>
      <c r="T12" s="144">
        <f>IF(Master!$B$11="No",IF(D12&lt;18001,265,IF(D12&lt;33501,440,IF(D12&lt;54001,658,875))),0)</f>
        <v>0</v>
      </c>
      <c r="U12" s="144">
        <f t="shared" si="15"/>
        <v>2000</v>
      </c>
      <c r="V12" s="144">
        <v>0</v>
      </c>
      <c r="W12" s="144">
        <f t="shared" si="16"/>
        <v>5000</v>
      </c>
      <c r="X12" s="144"/>
      <c r="Y12" s="144">
        <f t="shared" si="17"/>
        <v>0</v>
      </c>
      <c r="Z12" s="144">
        <f t="shared" si="8"/>
        <v>0</v>
      </c>
      <c r="AA12" s="144">
        <f t="shared" si="8"/>
        <v>0</v>
      </c>
      <c r="AB12" s="147">
        <f t="shared" si="1"/>
        <v>22342</v>
      </c>
      <c r="AC12" s="148">
        <f t="shared" si="2"/>
        <v>66783</v>
      </c>
      <c r="AD12" s="172"/>
      <c r="AE12" s="40"/>
    </row>
    <row r="13" spans="1:31" s="17" customFormat="1" ht="18" customHeight="1" x14ac:dyDescent="0.2">
      <c r="A13" s="40"/>
      <c r="B13" s="17">
        <v>7</v>
      </c>
      <c r="C13" s="171">
        <v>44013</v>
      </c>
      <c r="D13" s="143">
        <f>MROUND(ROUND(1.03*D12,0),100)</f>
        <v>73400</v>
      </c>
      <c r="E13" s="144">
        <f t="shared" si="10"/>
        <v>0</v>
      </c>
      <c r="F13" s="144">
        <f>IF(F$9=0,0,F12)</f>
        <v>0</v>
      </c>
      <c r="G13" s="144">
        <f>IF(G$9=0,0,G12)</f>
        <v>0</v>
      </c>
      <c r="H13" s="144">
        <f t="shared" si="0"/>
        <v>12478</v>
      </c>
      <c r="I13" s="144">
        <f>IF(Master!$D$10="NA",0,IF(Master!$D$10=8%,ROUND(0.08*D13,0),ROUND(0.16*D13,0)))</f>
        <v>5872</v>
      </c>
      <c r="J13" s="144">
        <f>IF(J$9=0,0,J12)</f>
        <v>0</v>
      </c>
      <c r="K13" s="144">
        <f t="shared" ref="K13" si="18">IF(K$9=0,0,K12)</f>
        <v>0</v>
      </c>
      <c r="L13" s="144">
        <f>IF(L$9=0,0,L12)</f>
        <v>0</v>
      </c>
      <c r="M13" s="144">
        <f>IF(M$9=0,0,M12)</f>
        <v>0</v>
      </c>
      <c r="N13" s="145">
        <f t="shared" si="7"/>
        <v>91750</v>
      </c>
      <c r="O13" s="144">
        <f>IF(Master!$B$11="Yes",ROUND((D13+H13)*0.1,0),IF(D13&lt;23101,1450,IF(D13&lt;28501,1625,IF(D13&lt;38501,2100,IF(D13&lt;51501,2850,IF(D13&lt;62001,3575,IF(D13&lt;72001,4200,IF(D13&lt;80001,4800,IF(D13&lt;116001,6150,IF(D13&lt;167001,8900,10500))))))))))</f>
        <v>8588</v>
      </c>
      <c r="P13" s="144">
        <f>P12</f>
        <v>0</v>
      </c>
      <c r="Q13" s="144">
        <f>Q12</f>
        <v>7000</v>
      </c>
      <c r="R13" s="144"/>
      <c r="S13" s="144">
        <f>S12</f>
        <v>0</v>
      </c>
      <c r="T13" s="144">
        <f>IF(Master!$B$11="No",IF(D13&lt;18001,265,IF(D13&lt;33501,440,IF(D13&lt;54001,658,875))),0)</f>
        <v>0</v>
      </c>
      <c r="U13" s="144">
        <f>U12</f>
        <v>2000</v>
      </c>
      <c r="V13" s="144">
        <v>0</v>
      </c>
      <c r="W13" s="144">
        <f t="shared" si="16"/>
        <v>5000</v>
      </c>
      <c r="X13" s="144"/>
      <c r="Y13" s="144">
        <f>Y12</f>
        <v>0</v>
      </c>
      <c r="Z13" s="144">
        <f t="shared" si="8"/>
        <v>0</v>
      </c>
      <c r="AA13" s="144">
        <f t="shared" si="8"/>
        <v>0</v>
      </c>
      <c r="AB13" s="147">
        <f t="shared" si="1"/>
        <v>22588</v>
      </c>
      <c r="AC13" s="148">
        <f t="shared" si="2"/>
        <v>69162</v>
      </c>
      <c r="AD13" s="172"/>
      <c r="AE13" s="40"/>
    </row>
    <row r="14" spans="1:31" s="17" customFormat="1" ht="18" customHeight="1" x14ac:dyDescent="0.2">
      <c r="A14" s="40"/>
      <c r="B14" s="17">
        <v>8</v>
      </c>
      <c r="C14" s="171">
        <v>44044</v>
      </c>
      <c r="D14" s="143">
        <f t="shared" ref="D14:D20" si="19">D13</f>
        <v>73400</v>
      </c>
      <c r="E14" s="144">
        <f t="shared" si="10"/>
        <v>0</v>
      </c>
      <c r="F14" s="144">
        <f t="shared" si="3"/>
        <v>0</v>
      </c>
      <c r="G14" s="144">
        <f t="shared" si="3"/>
        <v>0</v>
      </c>
      <c r="H14" s="144">
        <f t="shared" si="0"/>
        <v>12478</v>
      </c>
      <c r="I14" s="144">
        <f>IF(Master!$D$10="NA",0,IF(Master!$D$10=8%,ROUND(0.08*D14,0),ROUND(0.16*D14,0)))</f>
        <v>5872</v>
      </c>
      <c r="J14" s="144">
        <f t="shared" si="4"/>
        <v>0</v>
      </c>
      <c r="K14" s="144">
        <f t="shared" si="5"/>
        <v>0</v>
      </c>
      <c r="L14" s="144">
        <f t="shared" si="5"/>
        <v>0</v>
      </c>
      <c r="M14" s="144">
        <f t="shared" si="6"/>
        <v>0</v>
      </c>
      <c r="N14" s="145">
        <f t="shared" si="7"/>
        <v>91750</v>
      </c>
      <c r="O14" s="144">
        <f>IF(Master!$B$11="Yes",ROUND((D14+H14)*0.1,0),IF(D14&lt;23101,1450,IF(D14&lt;28501,1625,IF(D14&lt;38501,2100,IF(D14&lt;51501,2850,IF(D14&lt;62001,3575,IF(D14&lt;72001,4200,IF(D14&lt;80001,4800,IF(D14&lt;116001,6150,IF(D14&lt;167001,8900,10500))))))))))</f>
        <v>8588</v>
      </c>
      <c r="P14" s="144">
        <f t="shared" si="12"/>
        <v>0</v>
      </c>
      <c r="Q14" s="144">
        <f t="shared" si="13"/>
        <v>7000</v>
      </c>
      <c r="R14" s="144"/>
      <c r="S14" s="144">
        <f t="shared" si="14"/>
        <v>0</v>
      </c>
      <c r="T14" s="144">
        <f>IF(Master!$B$11="No",IF(D14&lt;18001,265,IF(D14&lt;33501,440,IF(D14&lt;54001,658,875))),0)</f>
        <v>0</v>
      </c>
      <c r="U14" s="144">
        <f t="shared" si="15"/>
        <v>2000</v>
      </c>
      <c r="V14" s="144">
        <v>0</v>
      </c>
      <c r="W14" s="144">
        <f t="shared" si="16"/>
        <v>5000</v>
      </c>
      <c r="X14" s="144"/>
      <c r="Y14" s="144">
        <f t="shared" si="17"/>
        <v>0</v>
      </c>
      <c r="Z14" s="144">
        <f t="shared" si="8"/>
        <v>0</v>
      </c>
      <c r="AA14" s="144">
        <f t="shared" si="8"/>
        <v>0</v>
      </c>
      <c r="AB14" s="147">
        <f t="shared" si="1"/>
        <v>22588</v>
      </c>
      <c r="AC14" s="148">
        <f t="shared" si="2"/>
        <v>69162</v>
      </c>
      <c r="AD14" s="172"/>
      <c r="AE14" s="40"/>
    </row>
    <row r="15" spans="1:31" s="17" customFormat="1" ht="18" customHeight="1" x14ac:dyDescent="0.2">
      <c r="A15" s="40"/>
      <c r="B15" s="17">
        <v>9</v>
      </c>
      <c r="C15" s="171">
        <v>44075</v>
      </c>
      <c r="D15" s="143">
        <f t="shared" si="19"/>
        <v>73400</v>
      </c>
      <c r="E15" s="144">
        <f t="shared" si="10"/>
        <v>0</v>
      </c>
      <c r="F15" s="144">
        <f t="shared" si="3"/>
        <v>0</v>
      </c>
      <c r="G15" s="144">
        <f t="shared" si="3"/>
        <v>0</v>
      </c>
      <c r="H15" s="144">
        <f t="shared" si="0"/>
        <v>12478</v>
      </c>
      <c r="I15" s="144">
        <f>IF(Master!$D$10="NA",0,IF(Master!$D$10=8%,ROUND(0.08*D15,0),ROUND(0.16*D15,0)))</f>
        <v>5872</v>
      </c>
      <c r="J15" s="144">
        <f t="shared" si="4"/>
        <v>0</v>
      </c>
      <c r="K15" s="144">
        <f t="shared" si="5"/>
        <v>0</v>
      </c>
      <c r="L15" s="144">
        <f t="shared" si="5"/>
        <v>0</v>
      </c>
      <c r="M15" s="144">
        <f t="shared" si="6"/>
        <v>0</v>
      </c>
      <c r="N15" s="145">
        <f t="shared" si="7"/>
        <v>91750</v>
      </c>
      <c r="O15" s="144">
        <f>IF(Master!$B$11="Yes",ROUND((D15+H15)*0.1,0),IF(D15&lt;23101,1450,IF(D15&lt;28501,1625,IF(D15&lt;38501,2100,IF(D15&lt;51501,2850,IF(D15&lt;62001,3575,IF(D15&lt;72001,4200,IF(D15&lt;80001,4800,IF(D15&lt;116001,6150,IF(D15&lt;167001,8900,10500))))))))))</f>
        <v>8588</v>
      </c>
      <c r="P15" s="144">
        <f t="shared" si="12"/>
        <v>0</v>
      </c>
      <c r="Q15" s="144">
        <f t="shared" si="13"/>
        <v>7000</v>
      </c>
      <c r="R15" s="144"/>
      <c r="S15" s="144">
        <f t="shared" si="14"/>
        <v>0</v>
      </c>
      <c r="T15" s="144">
        <f>IF(Master!$B$11="No",IF(D15&lt;18001,265,IF(D15&lt;33501,440,IF(D15&lt;54001,658,875))),0)</f>
        <v>0</v>
      </c>
      <c r="U15" s="144">
        <f t="shared" si="15"/>
        <v>2000</v>
      </c>
      <c r="V15" s="144">
        <v>0</v>
      </c>
      <c r="W15" s="144">
        <f t="shared" si="16"/>
        <v>5000</v>
      </c>
      <c r="X15" s="144">
        <f>Master!J3</f>
        <v>6117</v>
      </c>
      <c r="Y15" s="144">
        <f t="shared" si="17"/>
        <v>0</v>
      </c>
      <c r="Z15" s="144">
        <f t="shared" si="8"/>
        <v>0</v>
      </c>
      <c r="AA15" s="144">
        <f t="shared" si="8"/>
        <v>0</v>
      </c>
      <c r="AB15" s="147">
        <f t="shared" si="1"/>
        <v>28705</v>
      </c>
      <c r="AC15" s="148">
        <f t="shared" si="2"/>
        <v>63045</v>
      </c>
      <c r="AD15" s="172"/>
      <c r="AE15" s="40"/>
    </row>
    <row r="16" spans="1:31" s="17" customFormat="1" ht="18" customHeight="1" x14ac:dyDescent="0.2">
      <c r="A16" s="40"/>
      <c r="B16" s="17">
        <v>10</v>
      </c>
      <c r="C16" s="171">
        <v>44105</v>
      </c>
      <c r="D16" s="143">
        <f t="shared" si="19"/>
        <v>73400</v>
      </c>
      <c r="E16" s="144">
        <f t="shared" si="10"/>
        <v>0</v>
      </c>
      <c r="F16" s="144">
        <f>IF(F$9=0,0,F15)</f>
        <v>0</v>
      </c>
      <c r="G16" s="144">
        <f t="shared" ref="G16:G20" si="20">IF(G$9=0,0,G15)</f>
        <v>0</v>
      </c>
      <c r="H16" s="144">
        <f t="shared" si="0"/>
        <v>12478</v>
      </c>
      <c r="I16" s="144">
        <f>IF(Master!$D$10="NA",0,IF(Master!$D$10=8%,ROUND(0.08*D16,0),ROUND(0.16*D16,0)))</f>
        <v>5872</v>
      </c>
      <c r="J16" s="144">
        <f t="shared" si="4"/>
        <v>0</v>
      </c>
      <c r="K16" s="144">
        <f t="shared" si="5"/>
        <v>0</v>
      </c>
      <c r="L16" s="144">
        <f t="shared" si="5"/>
        <v>0</v>
      </c>
      <c r="M16" s="144">
        <f t="shared" si="6"/>
        <v>0</v>
      </c>
      <c r="N16" s="145">
        <f t="shared" si="7"/>
        <v>91750</v>
      </c>
      <c r="O16" s="144">
        <f>IF(Master!$B$11="Yes",ROUND((D16+H16)*0.1,0),IF(D16&lt;23101,1450,IF(D16&lt;28501,1625,IF(D16&lt;38501,2100,IF(D16&lt;51501,2850,IF(D16&lt;62001,3575,IF(D16&lt;72001,4200,IF(D16&lt;80001,4800,IF(D16&lt;116001,6150,IF(D16&lt;167001,8900,10500))))))))))</f>
        <v>8588</v>
      </c>
      <c r="P16" s="144">
        <f t="shared" si="12"/>
        <v>0</v>
      </c>
      <c r="Q16" s="144">
        <f t="shared" si="13"/>
        <v>7000</v>
      </c>
      <c r="R16" s="144"/>
      <c r="S16" s="144">
        <f t="shared" si="14"/>
        <v>0</v>
      </c>
      <c r="T16" s="144">
        <f>IF(Master!$B$11="No",IF(D16&lt;18001,265,IF(D16&lt;33501,440,IF(D16&lt;54001,658,875))),0)</f>
        <v>0</v>
      </c>
      <c r="U16" s="144">
        <f t="shared" si="15"/>
        <v>2000</v>
      </c>
      <c r="V16" s="144">
        <v>0</v>
      </c>
      <c r="W16" s="144">
        <f t="shared" si="16"/>
        <v>5000</v>
      </c>
      <c r="X16" s="144">
        <f>Master!J4</f>
        <v>5919</v>
      </c>
      <c r="Y16" s="144">
        <f t="shared" si="17"/>
        <v>0</v>
      </c>
      <c r="Z16" s="144">
        <f t="shared" si="8"/>
        <v>0</v>
      </c>
      <c r="AA16" s="144">
        <f t="shared" si="8"/>
        <v>0</v>
      </c>
      <c r="AB16" s="147">
        <f t="shared" si="1"/>
        <v>28507</v>
      </c>
      <c r="AC16" s="148">
        <f t="shared" si="2"/>
        <v>63243</v>
      </c>
      <c r="AD16" s="172"/>
      <c r="AE16" s="40"/>
    </row>
    <row r="17" spans="1:31" s="17" customFormat="1" ht="18" customHeight="1" x14ac:dyDescent="0.2">
      <c r="A17" s="40"/>
      <c r="B17" s="17">
        <v>11</v>
      </c>
      <c r="C17" s="171">
        <v>44136</v>
      </c>
      <c r="D17" s="143">
        <f t="shared" si="19"/>
        <v>73400</v>
      </c>
      <c r="E17" s="144">
        <f t="shared" si="10"/>
        <v>0</v>
      </c>
      <c r="F17" s="144">
        <f>IF(F$9=0,0,F16)</f>
        <v>0</v>
      </c>
      <c r="G17" s="144">
        <f t="shared" si="20"/>
        <v>0</v>
      </c>
      <c r="H17" s="144">
        <f t="shared" si="0"/>
        <v>12478</v>
      </c>
      <c r="I17" s="144">
        <f>IF(Master!$D$10="NA",0,IF(Master!$D$10=8%,ROUND(0.08*D17,0),ROUND(0.16*D17,0)))</f>
        <v>5872</v>
      </c>
      <c r="J17" s="144">
        <f t="shared" si="4"/>
        <v>0</v>
      </c>
      <c r="K17" s="144">
        <f t="shared" si="5"/>
        <v>0</v>
      </c>
      <c r="L17" s="144">
        <f t="shared" si="5"/>
        <v>0</v>
      </c>
      <c r="M17" s="144">
        <f t="shared" si="6"/>
        <v>0</v>
      </c>
      <c r="N17" s="145">
        <f t="shared" si="7"/>
        <v>91750</v>
      </c>
      <c r="O17" s="144">
        <f>IF(Master!$B$11="Yes",ROUND((D17+H17)*0.1,0),IF(D17&lt;23101,1450,IF(D17&lt;28501,1625,IF(D17&lt;38501,2100,IF(D17&lt;51501,2850,IF(D17&lt;62001,3575,IF(D17&lt;72001,4200,IF(D17&lt;80001,4800,IF(D17&lt;116001,6150,IF(D17&lt;167001,8900,10500))))))))))</f>
        <v>8588</v>
      </c>
      <c r="P17" s="144">
        <f t="shared" si="12"/>
        <v>0</v>
      </c>
      <c r="Q17" s="144">
        <f t="shared" si="13"/>
        <v>7000</v>
      </c>
      <c r="R17" s="144"/>
      <c r="S17" s="144">
        <f t="shared" si="14"/>
        <v>0</v>
      </c>
      <c r="T17" s="144">
        <f>IF(Master!$B$11="No",IF(D17&lt;18001,265,IF(D17&lt;33501,440,IF(D17&lt;54001,658,875))),0)</f>
        <v>0</v>
      </c>
      <c r="U17" s="144">
        <f t="shared" si="15"/>
        <v>2000</v>
      </c>
      <c r="V17" s="144">
        <v>0</v>
      </c>
      <c r="W17" s="144">
        <f t="shared" si="16"/>
        <v>5000</v>
      </c>
      <c r="X17" s="144"/>
      <c r="Y17" s="144">
        <f t="shared" si="17"/>
        <v>0</v>
      </c>
      <c r="Z17" s="144">
        <f t="shared" si="8"/>
        <v>0</v>
      </c>
      <c r="AA17" s="144">
        <f t="shared" si="8"/>
        <v>0</v>
      </c>
      <c r="AB17" s="147">
        <f t="shared" si="1"/>
        <v>22588</v>
      </c>
      <c r="AC17" s="148">
        <f t="shared" si="2"/>
        <v>69162</v>
      </c>
      <c r="AD17" s="172"/>
      <c r="AE17" s="40"/>
    </row>
    <row r="18" spans="1:31" s="17" customFormat="1" ht="18" customHeight="1" x14ac:dyDescent="0.2">
      <c r="A18" s="40"/>
      <c r="B18" s="17">
        <v>12</v>
      </c>
      <c r="C18" s="171">
        <v>44166</v>
      </c>
      <c r="D18" s="143">
        <f t="shared" si="19"/>
        <v>73400</v>
      </c>
      <c r="E18" s="144">
        <f t="shared" si="10"/>
        <v>0</v>
      </c>
      <c r="F18" s="144">
        <f>IF(F$9=0,0,F17)</f>
        <v>0</v>
      </c>
      <c r="G18" s="144">
        <f t="shared" si="20"/>
        <v>0</v>
      </c>
      <c r="H18" s="144">
        <f t="shared" si="0"/>
        <v>12478</v>
      </c>
      <c r="I18" s="144">
        <f>IF(Master!$D$10="NA",0,IF(Master!$D$10=8%,ROUND(0.08*D18,0),ROUND(0.16*D18,0)))</f>
        <v>5872</v>
      </c>
      <c r="J18" s="144">
        <f t="shared" si="4"/>
        <v>0</v>
      </c>
      <c r="K18" s="144">
        <f t="shared" si="5"/>
        <v>0</v>
      </c>
      <c r="L18" s="144">
        <f t="shared" si="5"/>
        <v>0</v>
      </c>
      <c r="M18" s="144">
        <f t="shared" si="6"/>
        <v>0</v>
      </c>
      <c r="N18" s="145">
        <f t="shared" si="7"/>
        <v>91750</v>
      </c>
      <c r="O18" s="144">
        <f>IF(Master!$B$11="Yes",ROUND((D18+H18)*0.1,0),IF(D18&lt;23101,1450,IF(D18&lt;28501,1625,IF(D18&lt;38501,2100,IF(D18&lt;51501,2850,IF(D18&lt;62001,3575,IF(D18&lt;72001,4200,IF(D18&lt;80001,4800,IF(D18&lt;116001,6150,IF(D18&lt;167001,8900,10500))))))))))</f>
        <v>8588</v>
      </c>
      <c r="P18" s="144">
        <f t="shared" si="12"/>
        <v>0</v>
      </c>
      <c r="Q18" s="144">
        <f t="shared" si="13"/>
        <v>7000</v>
      </c>
      <c r="R18" s="144"/>
      <c r="S18" s="144">
        <f t="shared" si="14"/>
        <v>0</v>
      </c>
      <c r="T18" s="144">
        <f>IF(Master!$B$11="No",IF(D18&lt;18001,265,IF(D18&lt;33501,440,IF(D18&lt;54001,658,875))),0)</f>
        <v>0</v>
      </c>
      <c r="U18" s="144">
        <f t="shared" si="15"/>
        <v>2000</v>
      </c>
      <c r="V18" s="144">
        <v>0</v>
      </c>
      <c r="W18" s="144">
        <f t="shared" si="16"/>
        <v>5000</v>
      </c>
      <c r="X18" s="144"/>
      <c r="Y18" s="144">
        <f>IF(Master!D6="State Service",500,250)</f>
        <v>500</v>
      </c>
      <c r="Z18" s="144">
        <f t="shared" si="8"/>
        <v>0</v>
      </c>
      <c r="AA18" s="144">
        <f t="shared" si="8"/>
        <v>0</v>
      </c>
      <c r="AB18" s="147">
        <f t="shared" si="1"/>
        <v>23088</v>
      </c>
      <c r="AC18" s="148">
        <f t="shared" si="2"/>
        <v>68662</v>
      </c>
      <c r="AD18" s="172"/>
      <c r="AE18" s="40"/>
    </row>
    <row r="19" spans="1:31" s="17" customFormat="1" ht="18" customHeight="1" x14ac:dyDescent="0.2">
      <c r="A19" s="40"/>
      <c r="B19" s="17">
        <v>1</v>
      </c>
      <c r="C19" s="171">
        <v>44197</v>
      </c>
      <c r="D19" s="143">
        <f t="shared" si="19"/>
        <v>73400</v>
      </c>
      <c r="E19" s="144">
        <f t="shared" si="10"/>
        <v>0</v>
      </c>
      <c r="F19" s="144">
        <f>IF(F$9=0,0,F18)</f>
        <v>0</v>
      </c>
      <c r="G19" s="144">
        <f t="shared" si="20"/>
        <v>0</v>
      </c>
      <c r="H19" s="144">
        <f t="shared" si="0"/>
        <v>12478</v>
      </c>
      <c r="I19" s="144">
        <f>IF(Master!$D$10="NA",0,IF(Master!$D$10=8%,ROUND(0.08*D19,0),ROUND(0.16*D19,0)))</f>
        <v>5872</v>
      </c>
      <c r="J19" s="144">
        <f t="shared" si="4"/>
        <v>0</v>
      </c>
      <c r="K19" s="144">
        <f t="shared" si="5"/>
        <v>0</v>
      </c>
      <c r="L19" s="144">
        <f t="shared" si="5"/>
        <v>0</v>
      </c>
      <c r="M19" s="144">
        <f t="shared" si="6"/>
        <v>0</v>
      </c>
      <c r="N19" s="145">
        <f t="shared" si="7"/>
        <v>91750</v>
      </c>
      <c r="O19" s="144">
        <f>IF(Master!$B$11="Yes",ROUND((D19+H19)*0.1,0),IF(D19&lt;23101,1450,IF(D19&lt;28501,1625,IF(D19&lt;38501,2100,IF(D19&lt;51501,2850,IF(D19&lt;62001,3575,IF(D19&lt;72001,4200,IF(D19&lt;80001,4800,IF(D19&lt;116001,6150,IF(D19&lt;167001,8900,10500))))))))))</f>
        <v>8588</v>
      </c>
      <c r="P19" s="144">
        <f t="shared" si="12"/>
        <v>0</v>
      </c>
      <c r="Q19" s="144">
        <f t="shared" si="13"/>
        <v>7000</v>
      </c>
      <c r="R19" s="144"/>
      <c r="S19" s="144">
        <f t="shared" si="14"/>
        <v>0</v>
      </c>
      <c r="T19" s="144">
        <f>IF(Master!$B$11="No",IF(D19&lt;18001,265,IF(D19&lt;33501,440,IF(D19&lt;54001,658,875))),0)</f>
        <v>0</v>
      </c>
      <c r="U19" s="144">
        <f t="shared" si="15"/>
        <v>2000</v>
      </c>
      <c r="V19" s="144">
        <v>0</v>
      </c>
      <c r="W19" s="144">
        <f t="shared" si="16"/>
        <v>5000</v>
      </c>
      <c r="X19" s="144"/>
      <c r="Y19" s="144"/>
      <c r="Z19" s="144">
        <f t="shared" si="8"/>
        <v>0</v>
      </c>
      <c r="AA19" s="144">
        <f t="shared" si="8"/>
        <v>0</v>
      </c>
      <c r="AB19" s="147">
        <f t="shared" si="1"/>
        <v>22588</v>
      </c>
      <c r="AC19" s="148">
        <f t="shared" si="2"/>
        <v>69162</v>
      </c>
      <c r="AD19" s="172"/>
      <c r="AE19" s="40"/>
    </row>
    <row r="20" spans="1:31" s="17" customFormat="1" ht="18" customHeight="1" x14ac:dyDescent="0.2">
      <c r="A20" s="40"/>
      <c r="B20" s="17">
        <v>2</v>
      </c>
      <c r="C20" s="171">
        <v>44228</v>
      </c>
      <c r="D20" s="143">
        <f t="shared" si="19"/>
        <v>73400</v>
      </c>
      <c r="E20" s="144">
        <f t="shared" si="10"/>
        <v>0</v>
      </c>
      <c r="F20" s="144">
        <f>IF(F$9=0,0,F19)</f>
        <v>0</v>
      </c>
      <c r="G20" s="144">
        <f t="shared" si="20"/>
        <v>0</v>
      </c>
      <c r="H20" s="144">
        <f t="shared" si="0"/>
        <v>12478</v>
      </c>
      <c r="I20" s="144">
        <f>IF(Master!$D$10="NA",0,IF(Master!$D$10=8%,ROUND(0.08*D20,0),ROUND(0.16*D20,0)))</f>
        <v>5872</v>
      </c>
      <c r="J20" s="144">
        <f t="shared" si="4"/>
        <v>0</v>
      </c>
      <c r="K20" s="144">
        <f t="shared" si="5"/>
        <v>0</v>
      </c>
      <c r="L20" s="144">
        <f t="shared" si="5"/>
        <v>0</v>
      </c>
      <c r="M20" s="144">
        <f t="shared" si="6"/>
        <v>0</v>
      </c>
      <c r="N20" s="145">
        <f t="shared" si="7"/>
        <v>91750</v>
      </c>
      <c r="O20" s="144">
        <f>IF(Master!$B$11="Yes",ROUND((D20+H20)*0.1,0),IF(D20&lt;23101,1450,IF(D20&lt;28501,1625,IF(D20&lt;38501,2100,IF(D20&lt;51501,2850,IF(D20&lt;62001,3575,IF(D20&lt;72001,4200,IF(D20&lt;80001,4800,IF(D20&lt;116001,6150,IF(D20&lt;167001,8900,10500))))))))))</f>
        <v>8588</v>
      </c>
      <c r="P20" s="144">
        <f t="shared" si="12"/>
        <v>0</v>
      </c>
      <c r="Q20" s="144">
        <f t="shared" si="13"/>
        <v>7000</v>
      </c>
      <c r="R20" s="144"/>
      <c r="S20" s="144">
        <f t="shared" si="14"/>
        <v>0</v>
      </c>
      <c r="T20" s="144">
        <f>IF(Master!$B$11="No",IF(D20&lt;18001,265,IF(D20&lt;33501,440,IF(D20&lt;54001,658,875))),0)</f>
        <v>0</v>
      </c>
      <c r="U20" s="144">
        <f t="shared" si="15"/>
        <v>2000</v>
      </c>
      <c r="V20" s="144">
        <v>0</v>
      </c>
      <c r="W20" s="144">
        <f t="shared" si="16"/>
        <v>5000</v>
      </c>
      <c r="X20" s="144"/>
      <c r="Y20" s="144"/>
      <c r="Z20" s="144">
        <f t="shared" si="8"/>
        <v>0</v>
      </c>
      <c r="AA20" s="144">
        <f t="shared" si="8"/>
        <v>0</v>
      </c>
      <c r="AB20" s="147">
        <f t="shared" si="1"/>
        <v>22588</v>
      </c>
      <c r="AC20" s="148">
        <f t="shared" si="2"/>
        <v>69162</v>
      </c>
      <c r="AD20" s="172"/>
      <c r="AE20" s="40"/>
    </row>
    <row r="21" spans="1:31" s="17" customFormat="1" ht="30" x14ac:dyDescent="0.2">
      <c r="A21" s="40"/>
      <c r="C21" s="173" t="s">
        <v>201</v>
      </c>
      <c r="D21" s="143"/>
      <c r="E21" s="144"/>
      <c r="F21" s="144"/>
      <c r="G21" s="144"/>
      <c r="H21" s="144">
        <f>(ROUND(17%*D10,0)-ROUND(12%*D10,0))*6+IF(Master!B12="NO",0,IF(AND(Master!D12&gt;6,Master!D12&lt;13),ROUND(17%*D10/2,0)-ROUND(12%*D10/2,0),0))</f>
        <v>21390</v>
      </c>
      <c r="I21" s="144"/>
      <c r="J21" s="144"/>
      <c r="K21" s="144"/>
      <c r="L21" s="144"/>
      <c r="M21" s="144"/>
      <c r="N21" s="145">
        <f t="shared" si="7"/>
        <v>21390</v>
      </c>
      <c r="O21" s="144">
        <f>IF(Master!B11="Yes",ROUND((ROUND(17%*Master!B10,0)-ROUND(12%*Master!B10,0))*10%,0)*6,IF(Master!B11="No",H21,0))</f>
        <v>2142</v>
      </c>
      <c r="P21" s="144"/>
      <c r="Q21" s="144">
        <v>0</v>
      </c>
      <c r="R21" s="144"/>
      <c r="S21" s="144"/>
      <c r="T21" s="144"/>
      <c r="U21" s="144">
        <v>0</v>
      </c>
      <c r="V21" s="144"/>
      <c r="W21" s="144"/>
      <c r="X21" s="144"/>
      <c r="Y21" s="144"/>
      <c r="Z21" s="144"/>
      <c r="AA21" s="144"/>
      <c r="AB21" s="147">
        <f t="shared" si="1"/>
        <v>2142</v>
      </c>
      <c r="AC21" s="148">
        <f t="shared" si="2"/>
        <v>19248</v>
      </c>
      <c r="AD21" s="172"/>
      <c r="AE21" s="40"/>
    </row>
    <row r="22" spans="1:31" s="17" customFormat="1" ht="30" x14ac:dyDescent="0.2">
      <c r="A22" s="40"/>
      <c r="C22" s="173" t="s">
        <v>202</v>
      </c>
      <c r="D22" s="143"/>
      <c r="E22" s="144"/>
      <c r="F22" s="144"/>
      <c r="G22" s="144"/>
      <c r="H22" s="144">
        <f>(ROUND(17%*D10,0)-ROUND(12%*D10,0))*2+IF(Master!B12="NO",0,IF(AND(Master!D12&gt;0,Master!D12&lt;4),ROUND(17%*D10,0)-ROUND(12%*D10,0),0))</f>
        <v>7130</v>
      </c>
      <c r="I22" s="144"/>
      <c r="J22" s="144"/>
      <c r="K22" s="144"/>
      <c r="L22" s="144"/>
      <c r="M22" s="144"/>
      <c r="N22" s="145">
        <f t="shared" si="7"/>
        <v>7130</v>
      </c>
      <c r="O22" s="144">
        <f>IF(Master!B11="Yes",ROUND((ROUND(17%*Master!B10,0)-ROUND(12%*Master!B10,0))*10%,0)*2,IF(Master!B11="No",H22,0))</f>
        <v>714</v>
      </c>
      <c r="P22" s="144"/>
      <c r="Q22" s="144">
        <v>0</v>
      </c>
      <c r="R22" s="144"/>
      <c r="S22" s="144"/>
      <c r="T22" s="144"/>
      <c r="U22" s="144">
        <v>0</v>
      </c>
      <c r="V22" s="144"/>
      <c r="W22" s="144"/>
      <c r="X22" s="144"/>
      <c r="Y22" s="144"/>
      <c r="Z22" s="144"/>
      <c r="AA22" s="144"/>
      <c r="AB22" s="147">
        <f t="shared" si="1"/>
        <v>714</v>
      </c>
      <c r="AC22" s="148">
        <f t="shared" si="2"/>
        <v>6416</v>
      </c>
      <c r="AD22" s="172"/>
      <c r="AE22" s="40"/>
    </row>
    <row r="23" spans="1:31" s="17" customFormat="1" ht="30" x14ac:dyDescent="0.2">
      <c r="A23" s="40"/>
      <c r="C23" s="174" t="s">
        <v>235</v>
      </c>
      <c r="D23" s="143">
        <f>IF(Master!B13="NO",0,IF(OR(Master!D13="NA",Master!D13&gt;8,Master!D13&lt;4),0,IF(Master!D13=3,D20,IF(Master!D13=4,D10,VLOOKUP(Master!D13,B9:D20,3,FALSE)))))/2</f>
        <v>0</v>
      </c>
      <c r="E23" s="144"/>
      <c r="F23" s="144"/>
      <c r="G23" s="144"/>
      <c r="H23" s="144">
        <f>ROUND(17%*D23,0)</f>
        <v>0</v>
      </c>
      <c r="I23" s="144"/>
      <c r="J23" s="144"/>
      <c r="K23" s="144"/>
      <c r="L23" s="144"/>
      <c r="M23" s="144"/>
      <c r="N23" s="145">
        <f t="shared" si="7"/>
        <v>0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7">
        <f t="shared" si="1"/>
        <v>0</v>
      </c>
      <c r="AC23" s="148">
        <f t="shared" si="2"/>
        <v>0</v>
      </c>
      <c r="AD23" s="172"/>
      <c r="AE23" s="40"/>
    </row>
    <row r="24" spans="1:31" s="17" customFormat="1" ht="30" customHeight="1" x14ac:dyDescent="0.2">
      <c r="A24" s="40"/>
      <c r="C24" s="175" t="s">
        <v>247</v>
      </c>
      <c r="D24" s="143">
        <f>IF(Master!D11="YES",6774,0)</f>
        <v>0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5">
        <f t="shared" si="7"/>
        <v>0</v>
      </c>
      <c r="O24" s="144" t="str">
        <f>IF(D24="","",IF(Master!B11="NO",ROUND(GA55A!D24*75%,0),""))</f>
        <v/>
      </c>
      <c r="P24" s="144">
        <f>IF(D24="","",IF(Master!B11="YES",ROUND(GA55A!D24*75%,0),""))</f>
        <v>0</v>
      </c>
      <c r="Q24" s="144"/>
      <c r="R24" s="144"/>
      <c r="S24" s="144"/>
      <c r="T24" s="144"/>
      <c r="U24" s="144"/>
      <c r="V24" s="144"/>
      <c r="W24" s="144"/>
      <c r="X24" s="144"/>
      <c r="Y24" s="144"/>
      <c r="AA24" s="144"/>
      <c r="AB24" s="147">
        <f t="shared" si="1"/>
        <v>0</v>
      </c>
      <c r="AC24" s="148">
        <f t="shared" si="2"/>
        <v>0</v>
      </c>
      <c r="AD24" s="172"/>
      <c r="AE24" s="40"/>
    </row>
    <row r="25" spans="1:31" s="17" customFormat="1" ht="30" customHeight="1" x14ac:dyDescent="0.2">
      <c r="A25" s="40"/>
      <c r="C25" s="193" t="s">
        <v>307</v>
      </c>
      <c r="D25" s="143">
        <f>IF($AC$1="YES",D10-D9,"")</f>
        <v>36800</v>
      </c>
      <c r="E25" s="144"/>
      <c r="F25" s="144"/>
      <c r="G25" s="144"/>
      <c r="H25" s="143">
        <f t="shared" ref="H25:I25" si="21">IF($AC$1="YES",H10-H9,"")</f>
        <v>6256</v>
      </c>
      <c r="I25" s="143">
        <f t="shared" si="21"/>
        <v>2944</v>
      </c>
      <c r="J25" s="144"/>
      <c r="K25" s="144"/>
      <c r="L25" s="144"/>
      <c r="M25" s="144"/>
      <c r="N25" s="145">
        <f t="shared" si="7"/>
        <v>46000</v>
      </c>
      <c r="O25" s="143">
        <f>IF($AC$1="YES",O10-O9,"")</f>
        <v>4306</v>
      </c>
      <c r="P25" s="144"/>
      <c r="Q25" s="144"/>
      <c r="R25" s="144"/>
      <c r="S25" s="144"/>
      <c r="T25" s="144"/>
      <c r="U25" s="144"/>
      <c r="V25" s="144"/>
      <c r="W25" s="144">
        <f>IF(N25="","",MROUND(ROUND(N25*20%,0)+ROUND(ROUND(N25*20%,0)*4%,0),10))</f>
        <v>9570</v>
      </c>
      <c r="X25" s="144"/>
      <c r="Y25" s="144"/>
      <c r="Z25" s="144"/>
      <c r="AA25" s="144"/>
      <c r="AB25" s="147">
        <f t="shared" si="1"/>
        <v>13876</v>
      </c>
      <c r="AC25" s="148">
        <f t="shared" si="2"/>
        <v>32124</v>
      </c>
      <c r="AD25" s="172"/>
      <c r="AE25" s="40"/>
    </row>
    <row r="26" spans="1:31" s="17" customFormat="1" ht="17.25" customHeight="1" x14ac:dyDescent="0.2">
      <c r="A26" s="40"/>
      <c r="C26" s="176" t="s">
        <v>146</v>
      </c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5">
        <f t="shared" si="7"/>
        <v>0</v>
      </c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7">
        <f t="shared" si="1"/>
        <v>0</v>
      </c>
      <c r="AC26" s="148">
        <f t="shared" si="2"/>
        <v>0</v>
      </c>
      <c r="AD26" s="172"/>
      <c r="AE26" s="40"/>
    </row>
    <row r="27" spans="1:31" s="17" customFormat="1" ht="17.25" customHeight="1" x14ac:dyDescent="0.2">
      <c r="A27" s="40"/>
      <c r="C27" s="176" t="s">
        <v>147</v>
      </c>
      <c r="D27" s="143"/>
      <c r="E27" s="144"/>
      <c r="F27" s="144"/>
      <c r="G27" s="144"/>
      <c r="H27" s="144"/>
      <c r="I27" s="144"/>
      <c r="J27" s="144"/>
      <c r="K27" s="144"/>
      <c r="L27" s="144"/>
      <c r="M27" s="144"/>
      <c r="N27" s="145">
        <f t="shared" si="7"/>
        <v>0</v>
      </c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7">
        <f t="shared" si="1"/>
        <v>0</v>
      </c>
      <c r="AC27" s="148">
        <f t="shared" si="2"/>
        <v>0</v>
      </c>
      <c r="AD27" s="172"/>
      <c r="AE27" s="40"/>
    </row>
    <row r="28" spans="1:31" s="17" customFormat="1" ht="17.25" customHeight="1" x14ac:dyDescent="0.2">
      <c r="A28" s="40"/>
      <c r="C28" s="176" t="s">
        <v>250</v>
      </c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>
        <f t="shared" si="7"/>
        <v>0</v>
      </c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7">
        <f t="shared" si="1"/>
        <v>0</v>
      </c>
      <c r="AC28" s="148">
        <f t="shared" si="2"/>
        <v>0</v>
      </c>
      <c r="AD28" s="172"/>
      <c r="AE28" s="40"/>
    </row>
    <row r="29" spans="1:31" s="17" customFormat="1" ht="17.25" customHeight="1" x14ac:dyDescent="0.2">
      <c r="A29" s="40"/>
      <c r="C29" s="176" t="s">
        <v>83</v>
      </c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5">
        <f t="shared" si="7"/>
        <v>0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7">
        <f t="shared" si="1"/>
        <v>0</v>
      </c>
      <c r="AC29" s="148">
        <f t="shared" si="2"/>
        <v>0</v>
      </c>
      <c r="AD29" s="172"/>
      <c r="AE29" s="40"/>
    </row>
    <row r="30" spans="1:31" s="18" customFormat="1" ht="87" customHeight="1" thickBot="1" x14ac:dyDescent="0.25">
      <c r="A30" s="41"/>
      <c r="C30" s="177" t="s">
        <v>60</v>
      </c>
      <c r="D30" s="178">
        <f>SUM(D9:D29)</f>
        <v>872400</v>
      </c>
      <c r="E30" s="178">
        <f t="shared" ref="E30:AA30" si="22">SUM(E9:E29)</f>
        <v>0</v>
      </c>
      <c r="F30" s="178">
        <f t="shared" si="22"/>
        <v>0</v>
      </c>
      <c r="G30" s="178">
        <f t="shared" si="22"/>
        <v>0</v>
      </c>
      <c r="H30" s="178">
        <f t="shared" si="22"/>
        <v>176828</v>
      </c>
      <c r="I30" s="178">
        <f t="shared" si="22"/>
        <v>69792</v>
      </c>
      <c r="J30" s="178">
        <f t="shared" si="22"/>
        <v>0</v>
      </c>
      <c r="K30" s="178">
        <f t="shared" si="22"/>
        <v>0</v>
      </c>
      <c r="L30" s="178">
        <f t="shared" si="22"/>
        <v>0</v>
      </c>
      <c r="M30" s="178">
        <f t="shared" si="22"/>
        <v>0</v>
      </c>
      <c r="N30" s="178">
        <f t="shared" si="22"/>
        <v>1119020</v>
      </c>
      <c r="O30" s="178">
        <f t="shared" si="22"/>
        <v>104928</v>
      </c>
      <c r="P30" s="178">
        <f t="shared" si="22"/>
        <v>0</v>
      </c>
      <c r="Q30" s="178">
        <f t="shared" si="22"/>
        <v>77000</v>
      </c>
      <c r="R30" s="178">
        <f t="shared" si="22"/>
        <v>7000</v>
      </c>
      <c r="S30" s="178">
        <f t="shared" si="22"/>
        <v>0</v>
      </c>
      <c r="T30" s="178">
        <f t="shared" si="22"/>
        <v>0</v>
      </c>
      <c r="U30" s="178">
        <f t="shared" si="22"/>
        <v>24000</v>
      </c>
      <c r="V30" s="178">
        <f t="shared" si="22"/>
        <v>220</v>
      </c>
      <c r="W30" s="178">
        <f t="shared" si="22"/>
        <v>69570</v>
      </c>
      <c r="X30" s="178">
        <f t="shared" si="22"/>
        <v>23536</v>
      </c>
      <c r="Y30" s="178">
        <f t="shared" si="22"/>
        <v>500</v>
      </c>
      <c r="Z30" s="178">
        <f t="shared" si="22"/>
        <v>0</v>
      </c>
      <c r="AA30" s="178">
        <f t="shared" si="22"/>
        <v>0</v>
      </c>
      <c r="AB30" s="178">
        <f t="shared" ref="AB30:AC30" si="23">SUM(AB9:AB29)</f>
        <v>306754</v>
      </c>
      <c r="AC30" s="178">
        <f t="shared" si="23"/>
        <v>812266</v>
      </c>
      <c r="AD30" s="179"/>
      <c r="AE30" s="41"/>
    </row>
    <row r="31" spans="1:31" s="5" customFormat="1" x14ac:dyDescent="0.2">
      <c r="A31" s="42"/>
      <c r="AE31" s="42"/>
    </row>
    <row r="32" spans="1:31" s="5" customFormat="1" x14ac:dyDescent="0.2">
      <c r="A32" s="42"/>
      <c r="AE32" s="42"/>
    </row>
    <row r="33" spans="1:31" s="5" customFormat="1" x14ac:dyDescent="0.2">
      <c r="A33" s="42"/>
      <c r="AE33" s="42"/>
    </row>
    <row r="34" spans="1:31" x14ac:dyDescent="0.2"/>
    <row r="35" spans="1:31" ht="15" x14ac:dyDescent="0.2">
      <c r="E35" s="105" t="s">
        <v>61</v>
      </c>
      <c r="AC35" s="105" t="s">
        <v>62</v>
      </c>
    </row>
    <row r="36" spans="1:31" ht="15" x14ac:dyDescent="0.2">
      <c r="C36" s="259" t="s">
        <v>129</v>
      </c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</row>
    <row r="37" spans="1:31" ht="21.75" customHeight="1" x14ac:dyDescent="0.2"/>
  </sheetData>
  <sheetProtection algorithmName="SHA-512" hashValue="79KmYJ/VbAcje9PvGrfKmae0Gt3uvdhJn1RHBwXV0ThR+wNiIa+BZDTSQUtdQrwUc7kyAJJyVvCAbvp7gI1Z0Q==" saltValue="MRGyT0lifMlpF1xwq/PayA==" spinCount="100000" sheet="1" formatColumns="0" selectLockedCell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17">
    <mergeCell ref="I7:J7"/>
    <mergeCell ref="C1:Z1"/>
    <mergeCell ref="C36:AD36"/>
    <mergeCell ref="K7:M7"/>
    <mergeCell ref="AA7:AB7"/>
    <mergeCell ref="AC7:AD7"/>
    <mergeCell ref="V6:X6"/>
    <mergeCell ref="N7:P7"/>
    <mergeCell ref="Q7:T7"/>
    <mergeCell ref="C3:AD3"/>
    <mergeCell ref="C4:AD4"/>
    <mergeCell ref="AC6:AD6"/>
    <mergeCell ref="AA6:AB6"/>
    <mergeCell ref="P6:S6"/>
    <mergeCell ref="I6:J6"/>
    <mergeCell ref="K6:N6"/>
    <mergeCell ref="D6:H7"/>
  </mergeCells>
  <phoneticPr fontId="0" type="noConversion"/>
  <conditionalFormatting sqref="AA24 D24:Y24 D9:Z9 D21:AA23 D10:Y20 D25:AA29">
    <cfRule type="cellIs" dxfId="6" priority="9" stopIfTrue="1" operator="equal">
      <formula>0</formula>
    </cfRule>
  </conditionalFormatting>
  <conditionalFormatting sqref="Z10:AA20">
    <cfRule type="cellIs" dxfId="5" priority="1" stopIfTrue="1" operator="equal">
      <formula>0</formula>
    </cfRule>
  </conditionalFormatting>
  <dataValidations count="3">
    <dataValidation type="list" allowBlank="1" showInputMessage="1" showErrorMessage="1" sqref="AB2 L2" xr:uid="{00000000-0002-0000-0200-000000000000}">
      <formula1>"Yes,No"</formula1>
    </dataValidation>
    <dataValidation type="list" allowBlank="1" showInputMessage="1" showErrorMessage="1" sqref="U2" xr:uid="{00000000-0002-0000-0200-000001000000}">
      <formula1>"4,5,6,7,8,9,10,11,12,1,2,3"</formula1>
    </dataValidation>
    <dataValidation type="list" allowBlank="1" showInputMessage="1" showErrorMessage="1" sqref="AC1" xr:uid="{69904C38-5DE3-4F8B-A4FC-478086FC81B0}">
      <formula1>"YES,NO"</formula1>
    </dataValidation>
  </dataValidations>
  <printOptions horizontalCentered="1"/>
  <pageMargins left="0.15748031496062992" right="0.19685039370078741" top="0.31496062992125984" bottom="0.15748031496062992" header="0.15748031496062992" footer="0.15748031496062992"/>
  <pageSetup paperSize="9" scale="70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FF00"/>
  </sheetPr>
  <dimension ref="A1:DR578"/>
  <sheetViews>
    <sheetView zoomScale="110" zoomScaleNormal="110" workbookViewId="0">
      <selection activeCell="E3" sqref="E3"/>
    </sheetView>
  </sheetViews>
  <sheetFormatPr defaultColWidth="0" defaultRowHeight="15.75" zeroHeight="1" x14ac:dyDescent="0.25"/>
  <cols>
    <col min="1" max="1" width="62.28515625" style="1" customWidth="1"/>
    <col min="2" max="2" width="14.42578125" style="1" customWidth="1"/>
    <col min="3" max="3" width="0.5703125" style="1" customWidth="1"/>
    <col min="4" max="4" width="71.5703125" style="1" customWidth="1"/>
    <col min="5" max="5" width="14.42578125" style="1" customWidth="1"/>
    <col min="6" max="6" width="17.5703125" style="37" hidden="1" customWidth="1"/>
    <col min="7" max="7" width="5.7109375" style="87" hidden="1" customWidth="1"/>
    <col min="8" max="8" width="11.85546875" style="71" hidden="1" customWidth="1"/>
    <col min="9" max="9" width="15.85546875" style="71" hidden="1" customWidth="1"/>
    <col min="10" max="10" width="13" style="71" hidden="1" customWidth="1"/>
    <col min="11" max="11" width="11.5703125" style="71" hidden="1" customWidth="1"/>
    <col min="12" max="12" width="5.7109375" style="87" hidden="1" customWidth="1"/>
    <col min="13" max="13" width="4.85546875" style="71" customWidth="1"/>
    <col min="14" max="14" width="7.85546875" style="71" hidden="1" customWidth="1"/>
    <col min="15" max="16" width="5.140625" style="71" hidden="1" customWidth="1"/>
    <col min="17" max="17" width="7.5703125" style="71" hidden="1" customWidth="1"/>
    <col min="18" max="18" width="7.140625" style="71" hidden="1" customWidth="1"/>
    <col min="19" max="19" width="5.140625" style="71" hidden="1" customWidth="1"/>
    <col min="20" max="20" width="8.85546875" style="71" hidden="1" customWidth="1"/>
    <col min="21" max="21" width="9.140625" style="71" hidden="1" customWidth="1"/>
    <col min="22" max="22" width="5.140625" style="71" hidden="1" customWidth="1"/>
    <col min="23" max="23" width="5.7109375" style="71" hidden="1" customWidth="1"/>
    <col min="24" max="24" width="6" style="71" hidden="1" customWidth="1"/>
    <col min="25" max="25" width="8" style="71" hidden="1" customWidth="1"/>
    <col min="26" max="26" width="7" style="71" hidden="1" customWidth="1"/>
    <col min="27" max="27" width="5.140625" style="71" hidden="1" customWidth="1"/>
    <col min="28" max="28" width="11.140625" style="71" hidden="1" customWidth="1"/>
    <col min="29" max="29" width="11.140625" style="1" hidden="1" customWidth="1"/>
    <col min="30" max="30" width="5.28515625" style="1" hidden="1" customWidth="1"/>
    <col min="31" max="31" width="8.28515625" style="1" hidden="1" customWidth="1"/>
    <col min="32" max="33" width="5.28515625" style="1" hidden="1" customWidth="1"/>
    <col min="34" max="34" width="8.28515625" style="1" hidden="1" customWidth="1"/>
    <col min="35" max="35" width="5.140625" style="1" hidden="1" customWidth="1"/>
    <col min="36" max="37" width="9.5703125" style="1" hidden="1" customWidth="1"/>
    <col min="38" max="38" width="10.5703125" style="1" hidden="1" customWidth="1"/>
    <col min="39" max="39" width="5.140625" style="1" hidden="1" customWidth="1"/>
    <col min="40" max="40" width="7.28515625" style="1" hidden="1" customWidth="1"/>
    <col min="41" max="41" width="7.7109375" style="1" hidden="1" customWidth="1"/>
    <col min="42" max="42" width="5.140625" style="1" hidden="1" customWidth="1"/>
    <col min="43" max="43" width="8" style="1" hidden="1" customWidth="1"/>
    <col min="44" max="44" width="11.42578125" style="1" hidden="1" customWidth="1"/>
    <col min="45" max="45" width="14.28515625" style="1" hidden="1" customWidth="1"/>
    <col min="46" max="46" width="9" style="1" hidden="1" customWidth="1"/>
    <col min="47" max="47" width="5.85546875" style="1" hidden="1" customWidth="1"/>
    <col min="48" max="48" width="7.5703125" style="1" hidden="1" customWidth="1"/>
    <col min="49" max="49" width="13.140625" style="1" hidden="1" customWidth="1"/>
    <col min="50" max="50" width="7.5703125" style="1" hidden="1" customWidth="1"/>
    <col min="51" max="51" width="13.140625" style="1" hidden="1" customWidth="1"/>
    <col min="52" max="52" width="7.5703125" style="1" hidden="1" customWidth="1"/>
    <col min="53" max="53" width="13.140625" style="1" hidden="1" customWidth="1"/>
    <col min="54" max="54" width="7.5703125" style="1" hidden="1" customWidth="1"/>
    <col min="55" max="55" width="13.140625" style="1" hidden="1" customWidth="1"/>
    <col min="56" max="56" width="7.5703125" style="1" hidden="1" customWidth="1"/>
    <col min="57" max="57" width="13.140625" style="1" hidden="1" customWidth="1"/>
    <col min="58" max="58" width="7.5703125" style="1" hidden="1" customWidth="1"/>
    <col min="59" max="59" width="13.140625" style="1" hidden="1" customWidth="1"/>
    <col min="60" max="60" width="7.5703125" style="1" hidden="1" customWidth="1"/>
    <col min="61" max="61" width="13.140625" style="1" hidden="1" customWidth="1"/>
    <col min="62" max="62" width="7.5703125" style="1" hidden="1" customWidth="1"/>
    <col min="63" max="63" width="13.140625" style="1" hidden="1" customWidth="1"/>
    <col min="64" max="64" width="5.140625" style="1" hidden="1" customWidth="1"/>
    <col min="65" max="65" width="7.140625" style="1" hidden="1" customWidth="1"/>
    <col min="66" max="66" width="6.7109375" style="1" hidden="1" customWidth="1"/>
    <col min="67" max="67" width="5.140625" style="1" hidden="1" customWidth="1"/>
    <col min="68" max="69" width="7.7109375" style="1" hidden="1" customWidth="1"/>
    <col min="70" max="71" width="7.28515625" style="1" hidden="1" customWidth="1"/>
    <col min="72" max="72" width="9.7109375" style="1" hidden="1" customWidth="1"/>
    <col min="73" max="73" width="9.28515625" style="1" hidden="1" customWidth="1"/>
    <col min="74" max="74" width="7.7109375" style="1" hidden="1" customWidth="1"/>
    <col min="75" max="75" width="7.85546875" style="1" hidden="1" customWidth="1"/>
    <col min="76" max="76" width="9.28515625" style="1" hidden="1" customWidth="1"/>
    <col min="77" max="77" width="10" style="1" hidden="1" customWidth="1"/>
    <col min="78" max="78" width="7" style="1" hidden="1" customWidth="1"/>
    <col min="79" max="79" width="7.5703125" style="1" hidden="1" customWidth="1"/>
    <col min="80" max="80" width="9.28515625" style="1" hidden="1" customWidth="1"/>
    <col min="81" max="81" width="9" style="1" hidden="1" customWidth="1"/>
    <col min="82" max="82" width="7.7109375" style="1" hidden="1" customWidth="1"/>
    <col min="83" max="83" width="5.140625" style="1" hidden="1" customWidth="1"/>
    <col min="84" max="84" width="7.28515625" style="1" hidden="1" customWidth="1"/>
    <col min="85" max="85" width="6.5703125" style="1" hidden="1" customWidth="1"/>
    <col min="86" max="86" width="6.28515625" style="1" hidden="1" customWidth="1"/>
    <col min="87" max="87" width="6.42578125" style="1" hidden="1" customWidth="1"/>
    <col min="88" max="88" width="5.140625" style="1" hidden="1" customWidth="1"/>
    <col min="89" max="89" width="6.28515625" style="1" hidden="1" customWidth="1"/>
    <col min="90" max="94" width="5.28515625" style="1" hidden="1" customWidth="1"/>
    <col min="95" max="95" width="5.140625" style="1" hidden="1" customWidth="1"/>
    <col min="96" max="96" width="7.5703125" style="1" hidden="1" customWidth="1"/>
    <col min="97" max="97" width="7.28515625" style="1" hidden="1" customWidth="1"/>
    <col min="98" max="98" width="12.85546875" style="1" hidden="1" customWidth="1"/>
    <col min="99" max="99" width="7.28515625" style="1" hidden="1" customWidth="1"/>
    <col min="100" max="100" width="12.85546875" style="1" hidden="1" customWidth="1"/>
    <col min="101" max="101" width="9.85546875" style="1" hidden="1" customWidth="1"/>
    <col min="102" max="102" width="10" style="1" hidden="1" customWidth="1"/>
    <col min="103" max="103" width="13.42578125" style="1" hidden="1" customWidth="1"/>
    <col min="104" max="104" width="10.140625" style="1" hidden="1" customWidth="1"/>
    <col min="105" max="105" width="8.42578125" style="1" hidden="1" customWidth="1"/>
    <col min="106" max="106" width="13.5703125" style="1" hidden="1" customWidth="1"/>
    <col min="107" max="107" width="5.140625" style="1" hidden="1" customWidth="1"/>
    <col min="108" max="108" width="8" style="1" hidden="1" customWidth="1"/>
    <col min="109" max="109" width="11.42578125" style="1" hidden="1" customWidth="1"/>
    <col min="110" max="110" width="7.7109375" style="1" hidden="1" customWidth="1"/>
    <col min="111" max="111" width="7.5703125" style="1" hidden="1" customWidth="1"/>
    <col min="112" max="113" width="5.140625" style="1" hidden="1" customWidth="1"/>
    <col min="114" max="114" width="14.140625" style="1" hidden="1" customWidth="1"/>
    <col min="115" max="115" width="15.5703125" style="1" hidden="1" customWidth="1"/>
    <col min="116" max="116" width="6.85546875" style="1" hidden="1" customWidth="1"/>
    <col min="117" max="122" width="0" style="1" hidden="1" customWidth="1"/>
    <col min="123" max="16384" width="9.140625" style="1" hidden="1"/>
  </cols>
  <sheetData>
    <row r="1" spans="1:122" ht="30.75" customHeight="1" x14ac:dyDescent="0.25">
      <c r="A1" s="274" t="s">
        <v>131</v>
      </c>
      <c r="B1" s="275"/>
      <c r="C1" s="275"/>
      <c r="D1" s="275"/>
      <c r="E1" s="275"/>
      <c r="F1" s="276"/>
      <c r="H1" s="1"/>
      <c r="I1" s="1"/>
      <c r="J1" s="1"/>
      <c r="K1" s="1"/>
      <c r="M1" s="8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122" ht="27.75" customHeight="1" x14ac:dyDescent="0.25">
      <c r="A2" s="277" t="str">
        <f>GA55A!D6&amp; " ,   " &amp;GA55A!K6&amp;"                         PAN-  "&amp;GA55A!P6</f>
        <v>Chandra Prakash Kurmi ,   Lecturer (L-13)                         PAN-  AAAAAXXXXA</v>
      </c>
      <c r="B2" s="278"/>
      <c r="C2" s="278"/>
      <c r="D2" s="278"/>
      <c r="E2" s="278"/>
      <c r="F2" s="279"/>
      <c r="M2" s="89"/>
    </row>
    <row r="3" spans="1:122" ht="15" customHeight="1" x14ac:dyDescent="0.25">
      <c r="A3" s="90" t="s">
        <v>108</v>
      </c>
      <c r="B3" s="156">
        <v>0</v>
      </c>
      <c r="C3" s="63"/>
      <c r="D3" s="62" t="s">
        <v>169</v>
      </c>
      <c r="E3" s="159">
        <v>50000</v>
      </c>
      <c r="F3" s="91" t="s">
        <v>26</v>
      </c>
      <c r="M3" s="89"/>
      <c r="DR3" s="3" t="s">
        <v>18</v>
      </c>
    </row>
    <row r="4" spans="1:122" ht="16.5" x14ac:dyDescent="0.25">
      <c r="A4" s="92" t="s">
        <v>109</v>
      </c>
      <c r="B4" s="157">
        <v>0</v>
      </c>
      <c r="C4" s="63"/>
      <c r="D4" s="48" t="s">
        <v>168</v>
      </c>
      <c r="E4" s="160">
        <v>0</v>
      </c>
      <c r="F4" s="91">
        <f>'Tax (Old Regime)'!Q4</f>
        <v>1223948</v>
      </c>
      <c r="M4" s="89"/>
      <c r="DR4" s="3"/>
    </row>
    <row r="5" spans="1:122" ht="15" customHeight="1" x14ac:dyDescent="0.3">
      <c r="A5" s="90" t="s">
        <v>110</v>
      </c>
      <c r="B5" s="156">
        <v>0</v>
      </c>
      <c r="C5" s="63"/>
      <c r="D5" s="69" t="s">
        <v>167</v>
      </c>
      <c r="E5" s="161">
        <v>0</v>
      </c>
      <c r="F5" s="93" t="s">
        <v>27</v>
      </c>
      <c r="I5" s="72">
        <f>SUM(E4:E5)</f>
        <v>0</v>
      </c>
      <c r="M5" s="89"/>
      <c r="DR5" s="3"/>
    </row>
    <row r="6" spans="1:122" ht="17.25" customHeight="1" x14ac:dyDescent="0.25">
      <c r="A6" s="94" t="s">
        <v>111</v>
      </c>
      <c r="B6" s="157">
        <v>0</v>
      </c>
      <c r="C6" s="63"/>
      <c r="D6" s="48" t="s">
        <v>188</v>
      </c>
      <c r="E6" s="160">
        <v>0</v>
      </c>
      <c r="F6" s="93">
        <f>'Tax (Old Regime)'!Q48</f>
        <v>895480</v>
      </c>
      <c r="I6" s="72">
        <f>SUM(E4:E6)</f>
        <v>0</v>
      </c>
      <c r="M6" s="89"/>
      <c r="DR6" s="3"/>
    </row>
    <row r="7" spans="1:122" ht="15" customHeight="1" x14ac:dyDescent="0.25">
      <c r="A7" s="90" t="s">
        <v>112</v>
      </c>
      <c r="B7" s="156">
        <v>0</v>
      </c>
      <c r="C7" s="63"/>
      <c r="D7" s="70" t="s">
        <v>170</v>
      </c>
      <c r="E7" s="161">
        <v>0</v>
      </c>
      <c r="F7" s="91" t="s">
        <v>68</v>
      </c>
      <c r="M7" s="89"/>
      <c r="DR7" s="3"/>
    </row>
    <row r="8" spans="1:122" ht="15" customHeight="1" x14ac:dyDescent="0.25">
      <c r="A8" s="95" t="s">
        <v>303</v>
      </c>
      <c r="B8" s="158">
        <v>0</v>
      </c>
      <c r="C8" s="63"/>
      <c r="D8" s="49" t="s">
        <v>171</v>
      </c>
      <c r="E8" s="162">
        <v>0</v>
      </c>
      <c r="F8" s="96">
        <f>GA55A!W30</f>
        <v>69570</v>
      </c>
      <c r="M8" s="89"/>
      <c r="DR8" s="3"/>
    </row>
    <row r="9" spans="1:122" ht="15" customHeight="1" x14ac:dyDescent="0.25">
      <c r="A9" s="90" t="s">
        <v>304</v>
      </c>
      <c r="B9" s="156">
        <v>0</v>
      </c>
      <c r="C9" s="63"/>
      <c r="D9" s="62" t="s">
        <v>172</v>
      </c>
      <c r="E9" s="161">
        <f>IF(H9&gt;0,H9,0)</f>
        <v>104928</v>
      </c>
      <c r="F9" s="280" t="s">
        <v>98</v>
      </c>
      <c r="H9" s="71">
        <f>IF(I9&gt;J9,J9,I9)</f>
        <v>104928</v>
      </c>
      <c r="I9" s="73">
        <f>IF(Master!B11="No",0,ROUND(10%*GA55A!N30,0))</f>
        <v>111902</v>
      </c>
      <c r="J9" s="73">
        <f>IF(Master!B11="No",0,GA55A!O30)</f>
        <v>104928</v>
      </c>
      <c r="M9" s="89"/>
      <c r="DR9" s="3"/>
    </row>
    <row r="10" spans="1:122" ht="15" customHeight="1" x14ac:dyDescent="0.25">
      <c r="A10" s="95" t="s">
        <v>113</v>
      </c>
      <c r="B10" s="158">
        <v>0</v>
      </c>
      <c r="C10" s="63"/>
      <c r="D10" s="49" t="s">
        <v>173</v>
      </c>
      <c r="E10" s="162">
        <v>0</v>
      </c>
      <c r="F10" s="280"/>
      <c r="I10" s="74">
        <f>SUM('Tax (Old Regime)'!I21:I30,'Tax (Old Regime)'!O21:O29)</f>
        <v>213148</v>
      </c>
      <c r="J10" s="71">
        <f>IF(Master!B11="No",50000,IF(K10&gt;50000,50000,K10))</f>
        <v>50000</v>
      </c>
      <c r="K10" s="71">
        <f>IF(I10&gt;150000,I10-150000,0)</f>
        <v>63148</v>
      </c>
      <c r="M10" s="89"/>
      <c r="DR10" s="3" t="s">
        <v>19</v>
      </c>
    </row>
    <row r="11" spans="1:122" ht="15" customHeight="1" x14ac:dyDescent="0.25">
      <c r="A11" s="90" t="s">
        <v>114</v>
      </c>
      <c r="B11" s="156">
        <v>0</v>
      </c>
      <c r="C11" s="63"/>
      <c r="D11" s="62" t="s">
        <v>178</v>
      </c>
      <c r="E11" s="161">
        <v>0</v>
      </c>
      <c r="F11" s="280"/>
      <c r="H11" s="71">
        <f>IF(Master!B14="No",25000,50000)</f>
        <v>25000</v>
      </c>
      <c r="M11" s="89"/>
      <c r="DR11" s="3" t="s">
        <v>21</v>
      </c>
    </row>
    <row r="12" spans="1:122" ht="15" customHeight="1" x14ac:dyDescent="0.25">
      <c r="A12" s="95" t="s">
        <v>115</v>
      </c>
      <c r="B12" s="158">
        <v>0</v>
      </c>
      <c r="C12" s="63"/>
      <c r="D12" s="49" t="s">
        <v>174</v>
      </c>
      <c r="E12" s="162">
        <v>0</v>
      </c>
      <c r="F12" s="97">
        <f>'Tax (Old Regime)'!Q31</f>
        <v>150000</v>
      </c>
      <c r="M12" s="89"/>
      <c r="DR12" s="3" t="s">
        <v>4</v>
      </c>
    </row>
    <row r="13" spans="1:122" ht="15" customHeight="1" x14ac:dyDescent="0.25">
      <c r="A13" s="90" t="s">
        <v>116</v>
      </c>
      <c r="B13" s="156">
        <v>0</v>
      </c>
      <c r="C13" s="63"/>
      <c r="D13" s="62" t="s">
        <v>175</v>
      </c>
      <c r="E13" s="161">
        <v>0</v>
      </c>
      <c r="F13" s="97"/>
      <c r="H13" s="71">
        <f>IF(Master!B14="No",40000,100000)</f>
        <v>40000</v>
      </c>
      <c r="M13" s="89"/>
      <c r="DR13" s="3"/>
    </row>
    <row r="14" spans="1:122" ht="15" customHeight="1" x14ac:dyDescent="0.25">
      <c r="A14" s="95" t="s">
        <v>117</v>
      </c>
      <c r="B14" s="158">
        <v>0</v>
      </c>
      <c r="C14" s="63"/>
      <c r="D14" s="49" t="s">
        <v>177</v>
      </c>
      <c r="E14" s="162">
        <v>0</v>
      </c>
      <c r="F14" s="281" t="s">
        <v>8</v>
      </c>
      <c r="M14" s="89"/>
      <c r="DR14" s="3" t="s">
        <v>0</v>
      </c>
    </row>
    <row r="15" spans="1:122" ht="15" customHeight="1" x14ac:dyDescent="0.25">
      <c r="A15" s="90" t="s">
        <v>118</v>
      </c>
      <c r="B15" s="156">
        <v>0</v>
      </c>
      <c r="C15" s="63"/>
      <c r="D15" s="62" t="s">
        <v>176</v>
      </c>
      <c r="E15" s="161">
        <f>GA55A!X30</f>
        <v>23536</v>
      </c>
      <c r="F15" s="281"/>
      <c r="M15" s="89"/>
      <c r="DR15" s="3" t="s">
        <v>21</v>
      </c>
    </row>
    <row r="16" spans="1:122" ht="15" customHeight="1" x14ac:dyDescent="0.25">
      <c r="A16" s="95" t="s">
        <v>119</v>
      </c>
      <c r="B16" s="158">
        <v>0</v>
      </c>
      <c r="C16" s="63"/>
      <c r="D16" s="49" t="s">
        <v>179</v>
      </c>
      <c r="E16" s="162">
        <v>0</v>
      </c>
      <c r="F16" s="281"/>
      <c r="M16" s="89"/>
      <c r="DR16" s="3" t="s">
        <v>22</v>
      </c>
    </row>
    <row r="17" spans="1:122" ht="15" customHeight="1" x14ac:dyDescent="0.25">
      <c r="A17" s="90" t="s">
        <v>183</v>
      </c>
      <c r="B17" s="156">
        <v>0</v>
      </c>
      <c r="C17" s="63"/>
      <c r="D17" s="62" t="s">
        <v>180</v>
      </c>
      <c r="E17" s="161">
        <v>0</v>
      </c>
      <c r="F17" s="286">
        <f>IF(B3=0,0,ROUND(0.1*H18,0)+B3)</f>
        <v>0</v>
      </c>
      <c r="M17" s="89"/>
      <c r="DR17" s="3" t="s">
        <v>5</v>
      </c>
    </row>
    <row r="18" spans="1:122" ht="15" customHeight="1" x14ac:dyDescent="0.25">
      <c r="A18" s="95" t="s">
        <v>139</v>
      </c>
      <c r="B18" s="158">
        <v>0</v>
      </c>
      <c r="C18" s="63"/>
      <c r="D18" s="49" t="s">
        <v>181</v>
      </c>
      <c r="E18" s="162">
        <v>0</v>
      </c>
      <c r="F18" s="286"/>
      <c r="H18" s="71">
        <f>SUM(GA55A!D9:D20)+SUM(GA55A!H9:H20)</f>
        <v>977652</v>
      </c>
      <c r="M18" s="89"/>
      <c r="DR18" s="3"/>
    </row>
    <row r="19" spans="1:122" ht="15" customHeight="1" x14ac:dyDescent="0.25">
      <c r="A19" s="90" t="s">
        <v>164</v>
      </c>
      <c r="B19" s="156">
        <v>0</v>
      </c>
      <c r="C19" s="63"/>
      <c r="D19" s="62" t="s">
        <v>182</v>
      </c>
      <c r="E19" s="161">
        <v>0</v>
      </c>
      <c r="F19" s="286"/>
      <c r="M19" s="89"/>
      <c r="DR19" s="3"/>
    </row>
    <row r="20" spans="1:122" ht="15" customHeight="1" x14ac:dyDescent="0.25">
      <c r="A20" s="95" t="s">
        <v>165</v>
      </c>
      <c r="B20" s="158">
        <v>0</v>
      </c>
      <c r="C20" s="63"/>
      <c r="D20" s="49" t="s">
        <v>194</v>
      </c>
      <c r="E20" s="163">
        <v>0</v>
      </c>
      <c r="F20" s="286"/>
      <c r="M20" s="89"/>
      <c r="DR20" s="3" t="s">
        <v>23</v>
      </c>
    </row>
    <row r="21" spans="1:122" ht="15" customHeight="1" x14ac:dyDescent="0.25">
      <c r="A21" s="284" t="str">
        <f>'Tax (Old Regime)'!B64</f>
        <v>Income Tax Payable (Old Tax Regime)</v>
      </c>
      <c r="B21" s="285"/>
      <c r="C21" s="67"/>
      <c r="D21" s="164">
        <f>'Tax (Old Regime)'!Q64</f>
        <v>25690</v>
      </c>
      <c r="E21" s="64"/>
      <c r="F21" s="98"/>
      <c r="H21" s="75">
        <f>GA55A!I30</f>
        <v>69792</v>
      </c>
      <c r="M21" s="89"/>
      <c r="DR21" s="3" t="s">
        <v>7</v>
      </c>
    </row>
    <row r="22" spans="1:122" ht="15" customHeight="1" x14ac:dyDescent="0.25">
      <c r="A22" s="282" t="str">
        <f>"Total Rebate of (US 80C, 80CCC,80CCD(1)) =  "&amp;'Tax (Old Regime)'!Q31</f>
        <v>Total Rebate of (US 80C, 80CCC,80CCD(1)) =  150000</v>
      </c>
      <c r="B22" s="283"/>
      <c r="C22" s="68"/>
      <c r="D22" s="38" t="str">
        <f>"Investable Amount = "&amp;(150000-'Tax (Old Regime)'!Q31)</f>
        <v>Investable Amount = 0</v>
      </c>
      <c r="E22" s="2"/>
      <c r="F22" s="98"/>
      <c r="M22" s="89"/>
      <c r="DR22" s="3" t="s">
        <v>20</v>
      </c>
    </row>
    <row r="23" spans="1:122" ht="48" customHeight="1" thickBot="1" x14ac:dyDescent="0.3">
      <c r="A23" s="271" t="s">
        <v>102</v>
      </c>
      <c r="B23" s="272"/>
      <c r="C23" s="272"/>
      <c r="D23" s="272"/>
      <c r="E23" s="272"/>
      <c r="F23" s="273"/>
      <c r="M23" s="89"/>
    </row>
    <row r="24" spans="1:122" hidden="1" x14ac:dyDescent="0.25">
      <c r="M24" s="89"/>
    </row>
    <row r="25" spans="1:122" hidden="1" x14ac:dyDescent="0.25">
      <c r="M25" s="89"/>
    </row>
    <row r="26" spans="1:122" hidden="1" x14ac:dyDescent="0.25">
      <c r="M26" s="89"/>
    </row>
    <row r="27" spans="1:122" hidden="1" x14ac:dyDescent="0.25">
      <c r="M27" s="89"/>
    </row>
    <row r="28" spans="1:122" hidden="1" x14ac:dyDescent="0.25">
      <c r="M28" s="89"/>
    </row>
    <row r="29" spans="1:122" hidden="1" x14ac:dyDescent="0.25">
      <c r="M29" s="89"/>
    </row>
    <row r="30" spans="1:122" hidden="1" x14ac:dyDescent="0.25">
      <c r="M30" s="89"/>
    </row>
    <row r="31" spans="1:122" hidden="1" x14ac:dyDescent="0.25">
      <c r="M31" s="89"/>
    </row>
    <row r="32" spans="1:122" hidden="1" x14ac:dyDescent="0.25">
      <c r="M32" s="89"/>
    </row>
    <row r="33" spans="13:13" hidden="1" x14ac:dyDescent="0.25">
      <c r="M33" s="89"/>
    </row>
    <row r="34" spans="13:13" hidden="1" x14ac:dyDescent="0.25">
      <c r="M34" s="89"/>
    </row>
    <row r="35" spans="13:13" hidden="1" x14ac:dyDescent="0.25">
      <c r="M35" s="89"/>
    </row>
    <row r="36" spans="13:13" hidden="1" x14ac:dyDescent="0.25">
      <c r="M36" s="89"/>
    </row>
    <row r="37" spans="13:13" hidden="1" x14ac:dyDescent="0.25">
      <c r="M37" s="89"/>
    </row>
    <row r="38" spans="13:13" hidden="1" x14ac:dyDescent="0.25">
      <c r="M38" s="89"/>
    </row>
    <row r="39" spans="13:13" hidden="1" x14ac:dyDescent="0.25">
      <c r="M39" s="89"/>
    </row>
    <row r="40" spans="13:13" hidden="1" x14ac:dyDescent="0.25">
      <c r="M40" s="89"/>
    </row>
    <row r="41" spans="13:13" hidden="1" x14ac:dyDescent="0.25">
      <c r="M41" s="89"/>
    </row>
    <row r="42" spans="13:13" hidden="1" x14ac:dyDescent="0.25">
      <c r="M42" s="89"/>
    </row>
    <row r="43" spans="13:13" hidden="1" x14ac:dyDescent="0.25">
      <c r="M43" s="89"/>
    </row>
    <row r="44" spans="13:13" hidden="1" x14ac:dyDescent="0.25">
      <c r="M44" s="89"/>
    </row>
    <row r="45" spans="13:13" hidden="1" x14ac:dyDescent="0.25">
      <c r="M45" s="89"/>
    </row>
    <row r="46" spans="13:13" hidden="1" x14ac:dyDescent="0.25">
      <c r="M46" s="89"/>
    </row>
    <row r="47" spans="13:13" hidden="1" x14ac:dyDescent="0.25">
      <c r="M47" s="89"/>
    </row>
    <row r="48" spans="13:13" hidden="1" x14ac:dyDescent="0.25">
      <c r="M48" s="89"/>
    </row>
    <row r="49" spans="13:13" hidden="1" x14ac:dyDescent="0.25">
      <c r="M49" s="89"/>
    </row>
    <row r="50" spans="13:13" hidden="1" x14ac:dyDescent="0.25">
      <c r="M50" s="89"/>
    </row>
    <row r="51" spans="13:13" hidden="1" x14ac:dyDescent="0.25">
      <c r="M51" s="89"/>
    </row>
    <row r="52" spans="13:13" hidden="1" x14ac:dyDescent="0.25">
      <c r="M52" s="89"/>
    </row>
    <row r="53" spans="13:13" hidden="1" x14ac:dyDescent="0.25">
      <c r="M53" s="89"/>
    </row>
    <row r="54" spans="13:13" hidden="1" x14ac:dyDescent="0.25">
      <c r="M54" s="89"/>
    </row>
    <row r="55" spans="13:13" hidden="1" x14ac:dyDescent="0.25">
      <c r="M55" s="89"/>
    </row>
    <row r="56" spans="13:13" hidden="1" x14ac:dyDescent="0.25">
      <c r="M56" s="89"/>
    </row>
    <row r="57" spans="13:13" hidden="1" x14ac:dyDescent="0.25">
      <c r="M57" s="89"/>
    </row>
    <row r="58" spans="13:13" hidden="1" x14ac:dyDescent="0.25">
      <c r="M58" s="89"/>
    </row>
    <row r="59" spans="13:13" hidden="1" x14ac:dyDescent="0.25">
      <c r="M59" s="89"/>
    </row>
    <row r="60" spans="13:13" hidden="1" x14ac:dyDescent="0.25">
      <c r="M60" s="89"/>
    </row>
    <row r="61" spans="13:13" hidden="1" x14ac:dyDescent="0.25">
      <c r="M61" s="89"/>
    </row>
    <row r="62" spans="13:13" hidden="1" x14ac:dyDescent="0.25">
      <c r="M62" s="89"/>
    </row>
    <row r="63" spans="13:13" hidden="1" x14ac:dyDescent="0.25">
      <c r="M63" s="89"/>
    </row>
    <row r="64" spans="13:13" hidden="1" x14ac:dyDescent="0.25">
      <c r="M64" s="89"/>
    </row>
    <row r="65" spans="13:13" hidden="1" x14ac:dyDescent="0.25">
      <c r="M65" s="89"/>
    </row>
    <row r="66" spans="13:13" hidden="1" x14ac:dyDescent="0.25">
      <c r="M66" s="89"/>
    </row>
    <row r="67" spans="13:13" hidden="1" x14ac:dyDescent="0.25">
      <c r="M67" s="89"/>
    </row>
    <row r="68" spans="13:13" hidden="1" x14ac:dyDescent="0.25">
      <c r="M68" s="89"/>
    </row>
    <row r="69" spans="13:13" hidden="1" x14ac:dyDescent="0.25">
      <c r="M69" s="89"/>
    </row>
    <row r="70" spans="13:13" hidden="1" x14ac:dyDescent="0.25">
      <c r="M70" s="89"/>
    </row>
    <row r="71" spans="13:13" hidden="1" x14ac:dyDescent="0.25">
      <c r="M71" s="89"/>
    </row>
    <row r="72" spans="13:13" hidden="1" x14ac:dyDescent="0.25">
      <c r="M72" s="89"/>
    </row>
    <row r="73" spans="13:13" hidden="1" x14ac:dyDescent="0.25">
      <c r="M73" s="89"/>
    </row>
    <row r="74" spans="13:13" hidden="1" x14ac:dyDescent="0.25">
      <c r="M74" s="89"/>
    </row>
    <row r="75" spans="13:13" hidden="1" x14ac:dyDescent="0.25">
      <c r="M75" s="89"/>
    </row>
    <row r="76" spans="13:13" hidden="1" x14ac:dyDescent="0.25">
      <c r="M76" s="89"/>
    </row>
    <row r="77" spans="13:13" hidden="1" x14ac:dyDescent="0.25">
      <c r="M77" s="89"/>
    </row>
    <row r="78" spans="13:13" hidden="1" x14ac:dyDescent="0.25">
      <c r="M78" s="89"/>
    </row>
    <row r="79" spans="13:13" hidden="1" x14ac:dyDescent="0.25">
      <c r="M79" s="89"/>
    </row>
    <row r="80" spans="13:13" hidden="1" x14ac:dyDescent="0.25">
      <c r="M80" s="89"/>
    </row>
    <row r="81" spans="13:13" hidden="1" x14ac:dyDescent="0.25">
      <c r="M81" s="89"/>
    </row>
    <row r="82" spans="13:13" hidden="1" x14ac:dyDescent="0.25">
      <c r="M82" s="89"/>
    </row>
    <row r="83" spans="13:13" hidden="1" x14ac:dyDescent="0.25">
      <c r="M83" s="89"/>
    </row>
    <row r="84" spans="13:13" hidden="1" x14ac:dyDescent="0.25">
      <c r="M84" s="89"/>
    </row>
    <row r="85" spans="13:13" hidden="1" x14ac:dyDescent="0.25">
      <c r="M85" s="89"/>
    </row>
    <row r="86" spans="13:13" hidden="1" x14ac:dyDescent="0.25">
      <c r="M86" s="89"/>
    </row>
    <row r="87" spans="13:13" hidden="1" x14ac:dyDescent="0.25">
      <c r="M87" s="89"/>
    </row>
    <row r="88" spans="13:13" hidden="1" x14ac:dyDescent="0.25">
      <c r="M88" s="89"/>
    </row>
    <row r="89" spans="13:13" hidden="1" x14ac:dyDescent="0.25">
      <c r="M89" s="89"/>
    </row>
    <row r="90" spans="13:13" hidden="1" x14ac:dyDescent="0.25">
      <c r="M90" s="89"/>
    </row>
    <row r="91" spans="13:13" hidden="1" x14ac:dyDescent="0.25">
      <c r="M91" s="89"/>
    </row>
    <row r="92" spans="13:13" hidden="1" x14ac:dyDescent="0.25">
      <c r="M92" s="89"/>
    </row>
    <row r="93" spans="13:13" hidden="1" x14ac:dyDescent="0.25">
      <c r="M93" s="89"/>
    </row>
    <row r="94" spans="13:13" hidden="1" x14ac:dyDescent="0.25">
      <c r="M94" s="89"/>
    </row>
    <row r="95" spans="13:13" hidden="1" x14ac:dyDescent="0.25">
      <c r="M95" s="89"/>
    </row>
    <row r="96" spans="13:13" hidden="1" x14ac:dyDescent="0.25">
      <c r="M96" s="89"/>
    </row>
    <row r="97" spans="13:13" hidden="1" x14ac:dyDescent="0.25">
      <c r="M97" s="89"/>
    </row>
    <row r="98" spans="13:13" hidden="1" x14ac:dyDescent="0.25">
      <c r="M98" s="89"/>
    </row>
    <row r="99" spans="13:13" hidden="1" x14ac:dyDescent="0.25">
      <c r="M99" s="89"/>
    </row>
    <row r="100" spans="13:13" hidden="1" x14ac:dyDescent="0.25">
      <c r="M100" s="89"/>
    </row>
    <row r="101" spans="13:13" hidden="1" x14ac:dyDescent="0.25">
      <c r="M101" s="89"/>
    </row>
    <row r="102" spans="13:13" hidden="1" x14ac:dyDescent="0.25">
      <c r="M102" s="89"/>
    </row>
    <row r="103" spans="13:13" hidden="1" x14ac:dyDescent="0.25">
      <c r="M103" s="89"/>
    </row>
    <row r="104" spans="13:13" hidden="1" x14ac:dyDescent="0.25">
      <c r="M104" s="89"/>
    </row>
    <row r="105" spans="13:13" hidden="1" x14ac:dyDescent="0.25">
      <c r="M105" s="89"/>
    </row>
    <row r="106" spans="13:13" hidden="1" x14ac:dyDescent="0.25">
      <c r="M106" s="89"/>
    </row>
    <row r="107" spans="13:13" hidden="1" x14ac:dyDescent="0.25">
      <c r="M107" s="89"/>
    </row>
    <row r="108" spans="13:13" hidden="1" x14ac:dyDescent="0.25">
      <c r="M108" s="89"/>
    </row>
    <row r="109" spans="13:13" hidden="1" x14ac:dyDescent="0.25">
      <c r="M109" s="89"/>
    </row>
    <row r="110" spans="13:13" hidden="1" x14ac:dyDescent="0.25">
      <c r="M110" s="89"/>
    </row>
    <row r="111" spans="13:13" hidden="1" x14ac:dyDescent="0.25">
      <c r="M111" s="89"/>
    </row>
    <row r="112" spans="13:13" hidden="1" x14ac:dyDescent="0.25">
      <c r="M112" s="89"/>
    </row>
    <row r="113" spans="13:13" hidden="1" x14ac:dyDescent="0.25">
      <c r="M113" s="89"/>
    </row>
    <row r="114" spans="13:13" hidden="1" x14ac:dyDescent="0.25">
      <c r="M114" s="89"/>
    </row>
    <row r="115" spans="13:13" hidden="1" x14ac:dyDescent="0.25">
      <c r="M115" s="89"/>
    </row>
    <row r="116" spans="13:13" hidden="1" x14ac:dyDescent="0.25">
      <c r="M116" s="89"/>
    </row>
    <row r="117" spans="13:13" hidden="1" x14ac:dyDescent="0.25">
      <c r="M117" s="89"/>
    </row>
    <row r="118" spans="13:13" hidden="1" x14ac:dyDescent="0.25">
      <c r="M118" s="89"/>
    </row>
    <row r="119" spans="13:13" hidden="1" x14ac:dyDescent="0.25">
      <c r="M119" s="89"/>
    </row>
    <row r="120" spans="13:13" hidden="1" x14ac:dyDescent="0.25">
      <c r="M120" s="89"/>
    </row>
    <row r="121" spans="13:13" hidden="1" x14ac:dyDescent="0.25">
      <c r="M121" s="89"/>
    </row>
    <row r="122" spans="13:13" hidden="1" x14ac:dyDescent="0.25">
      <c r="M122" s="89"/>
    </row>
    <row r="123" spans="13:13" hidden="1" x14ac:dyDescent="0.25">
      <c r="M123" s="89"/>
    </row>
    <row r="124" spans="13:13" hidden="1" x14ac:dyDescent="0.25">
      <c r="M124" s="89"/>
    </row>
    <row r="125" spans="13:13" hidden="1" x14ac:dyDescent="0.25">
      <c r="M125" s="89"/>
    </row>
    <row r="126" spans="13:13" hidden="1" x14ac:dyDescent="0.25">
      <c r="M126" s="89"/>
    </row>
    <row r="127" spans="13:13" hidden="1" x14ac:dyDescent="0.25">
      <c r="M127" s="89"/>
    </row>
    <row r="128" spans="13:13" hidden="1" x14ac:dyDescent="0.25">
      <c r="M128" s="89"/>
    </row>
    <row r="129" spans="13:13" hidden="1" x14ac:dyDescent="0.25">
      <c r="M129" s="89"/>
    </row>
    <row r="130" spans="13:13" hidden="1" x14ac:dyDescent="0.25">
      <c r="M130" s="89"/>
    </row>
    <row r="131" spans="13:13" hidden="1" x14ac:dyDescent="0.25">
      <c r="M131" s="89"/>
    </row>
    <row r="132" spans="13:13" hidden="1" x14ac:dyDescent="0.25">
      <c r="M132" s="89"/>
    </row>
    <row r="133" spans="13:13" hidden="1" x14ac:dyDescent="0.25">
      <c r="M133" s="89"/>
    </row>
    <row r="134" spans="13:13" hidden="1" x14ac:dyDescent="0.25">
      <c r="M134" s="89"/>
    </row>
    <row r="135" spans="13:13" hidden="1" x14ac:dyDescent="0.25">
      <c r="M135" s="89"/>
    </row>
    <row r="136" spans="13:13" hidden="1" x14ac:dyDescent="0.25">
      <c r="M136" s="89"/>
    </row>
    <row r="137" spans="13:13" hidden="1" x14ac:dyDescent="0.25">
      <c r="M137" s="89"/>
    </row>
    <row r="138" spans="13:13" hidden="1" x14ac:dyDescent="0.25">
      <c r="M138" s="89"/>
    </row>
    <row r="139" spans="13:13" hidden="1" x14ac:dyDescent="0.25">
      <c r="M139" s="89"/>
    </row>
    <row r="140" spans="13:13" hidden="1" x14ac:dyDescent="0.25">
      <c r="M140" s="89"/>
    </row>
    <row r="141" spans="13:13" hidden="1" x14ac:dyDescent="0.25">
      <c r="M141" s="89"/>
    </row>
    <row r="142" spans="13:13" hidden="1" x14ac:dyDescent="0.25">
      <c r="M142" s="89"/>
    </row>
    <row r="143" spans="13:13" hidden="1" x14ac:dyDescent="0.25">
      <c r="M143" s="89"/>
    </row>
    <row r="144" spans="13:13" hidden="1" x14ac:dyDescent="0.25">
      <c r="M144" s="89"/>
    </row>
    <row r="145" spans="13:13" hidden="1" x14ac:dyDescent="0.25">
      <c r="M145" s="89"/>
    </row>
    <row r="146" spans="13:13" hidden="1" x14ac:dyDescent="0.25">
      <c r="M146" s="89"/>
    </row>
    <row r="147" spans="13:13" hidden="1" x14ac:dyDescent="0.25">
      <c r="M147" s="89"/>
    </row>
    <row r="148" spans="13:13" hidden="1" x14ac:dyDescent="0.25">
      <c r="M148" s="89"/>
    </row>
    <row r="149" spans="13:13" hidden="1" x14ac:dyDescent="0.25">
      <c r="M149" s="89"/>
    </row>
    <row r="150" spans="13:13" hidden="1" x14ac:dyDescent="0.25">
      <c r="M150" s="89"/>
    </row>
    <row r="151" spans="13:13" hidden="1" x14ac:dyDescent="0.25">
      <c r="M151" s="89"/>
    </row>
    <row r="152" spans="13:13" hidden="1" x14ac:dyDescent="0.25">
      <c r="M152" s="89"/>
    </row>
    <row r="153" spans="13:13" hidden="1" x14ac:dyDescent="0.25">
      <c r="M153" s="89"/>
    </row>
    <row r="154" spans="13:13" hidden="1" x14ac:dyDescent="0.25">
      <c r="M154" s="89"/>
    </row>
    <row r="155" spans="13:13" hidden="1" x14ac:dyDescent="0.25">
      <c r="M155" s="89"/>
    </row>
    <row r="156" spans="13:13" hidden="1" x14ac:dyDescent="0.25">
      <c r="M156" s="89"/>
    </row>
    <row r="157" spans="13:13" hidden="1" x14ac:dyDescent="0.25">
      <c r="M157" s="89"/>
    </row>
    <row r="158" spans="13:13" hidden="1" x14ac:dyDescent="0.25">
      <c r="M158" s="89"/>
    </row>
    <row r="159" spans="13:13" hidden="1" x14ac:dyDescent="0.25">
      <c r="M159" s="89"/>
    </row>
    <row r="160" spans="13:13" hidden="1" x14ac:dyDescent="0.25">
      <c r="M160" s="89"/>
    </row>
    <row r="161" spans="13:13" hidden="1" x14ac:dyDescent="0.25">
      <c r="M161" s="89"/>
    </row>
    <row r="162" spans="13:13" hidden="1" x14ac:dyDescent="0.25">
      <c r="M162" s="89"/>
    </row>
    <row r="163" spans="13:13" hidden="1" x14ac:dyDescent="0.25">
      <c r="M163" s="89"/>
    </row>
    <row r="164" spans="13:13" hidden="1" x14ac:dyDescent="0.25">
      <c r="M164" s="89"/>
    </row>
    <row r="165" spans="13:13" hidden="1" x14ac:dyDescent="0.25">
      <c r="M165" s="89"/>
    </row>
    <row r="166" spans="13:13" hidden="1" x14ac:dyDescent="0.25">
      <c r="M166" s="89"/>
    </row>
    <row r="167" spans="13:13" hidden="1" x14ac:dyDescent="0.25">
      <c r="M167" s="89"/>
    </row>
    <row r="168" spans="13:13" hidden="1" x14ac:dyDescent="0.25">
      <c r="M168" s="89"/>
    </row>
    <row r="169" spans="13:13" hidden="1" x14ac:dyDescent="0.25">
      <c r="M169" s="89"/>
    </row>
    <row r="170" spans="13:13" hidden="1" x14ac:dyDescent="0.25">
      <c r="M170" s="89"/>
    </row>
    <row r="171" spans="13:13" hidden="1" x14ac:dyDescent="0.25">
      <c r="M171" s="89"/>
    </row>
    <row r="172" spans="13:13" hidden="1" x14ac:dyDescent="0.25">
      <c r="M172" s="89"/>
    </row>
    <row r="173" spans="13:13" hidden="1" x14ac:dyDescent="0.25">
      <c r="M173" s="89"/>
    </row>
    <row r="174" spans="13:13" hidden="1" x14ac:dyDescent="0.25">
      <c r="M174" s="89"/>
    </row>
    <row r="175" spans="13:13" hidden="1" x14ac:dyDescent="0.25">
      <c r="M175" s="89"/>
    </row>
    <row r="176" spans="13:13" hidden="1" x14ac:dyDescent="0.25">
      <c r="M176" s="89"/>
    </row>
    <row r="177" spans="13:13" hidden="1" x14ac:dyDescent="0.25">
      <c r="M177" s="89"/>
    </row>
    <row r="178" spans="13:13" hidden="1" x14ac:dyDescent="0.25">
      <c r="M178" s="89"/>
    </row>
    <row r="179" spans="13:13" hidden="1" x14ac:dyDescent="0.25">
      <c r="M179" s="89"/>
    </row>
    <row r="180" spans="13:13" hidden="1" x14ac:dyDescent="0.25">
      <c r="M180" s="89"/>
    </row>
    <row r="181" spans="13:13" hidden="1" x14ac:dyDescent="0.25">
      <c r="M181" s="89"/>
    </row>
    <row r="182" spans="13:13" hidden="1" x14ac:dyDescent="0.25">
      <c r="M182" s="89"/>
    </row>
    <row r="183" spans="13:13" hidden="1" x14ac:dyDescent="0.25">
      <c r="M183" s="89"/>
    </row>
    <row r="184" spans="13:13" hidden="1" x14ac:dyDescent="0.25">
      <c r="M184" s="89"/>
    </row>
    <row r="185" spans="13:13" hidden="1" x14ac:dyDescent="0.25">
      <c r="M185" s="89"/>
    </row>
    <row r="186" spans="13:13" hidden="1" x14ac:dyDescent="0.25">
      <c r="M186" s="89"/>
    </row>
    <row r="187" spans="13:13" hidden="1" x14ac:dyDescent="0.25">
      <c r="M187" s="89"/>
    </row>
    <row r="188" spans="13:13" hidden="1" x14ac:dyDescent="0.25">
      <c r="M188" s="89"/>
    </row>
    <row r="189" spans="13:13" hidden="1" x14ac:dyDescent="0.25">
      <c r="M189" s="89"/>
    </row>
    <row r="190" spans="13:13" hidden="1" x14ac:dyDescent="0.25">
      <c r="M190" s="89"/>
    </row>
    <row r="191" spans="13:13" hidden="1" x14ac:dyDescent="0.25">
      <c r="M191" s="89"/>
    </row>
    <row r="192" spans="13:13" hidden="1" x14ac:dyDescent="0.25">
      <c r="M192" s="89"/>
    </row>
    <row r="193" spans="13:13" hidden="1" x14ac:dyDescent="0.25">
      <c r="M193" s="89"/>
    </row>
    <row r="194" spans="13:13" hidden="1" x14ac:dyDescent="0.25">
      <c r="M194" s="89"/>
    </row>
    <row r="195" spans="13:13" hidden="1" x14ac:dyDescent="0.25">
      <c r="M195" s="89"/>
    </row>
    <row r="196" spans="13:13" hidden="1" x14ac:dyDescent="0.25">
      <c r="M196" s="89"/>
    </row>
    <row r="197" spans="13:13" hidden="1" x14ac:dyDescent="0.25">
      <c r="M197" s="89"/>
    </row>
    <row r="198" spans="13:13" hidden="1" x14ac:dyDescent="0.25">
      <c r="M198" s="89"/>
    </row>
    <row r="199" spans="13:13" hidden="1" x14ac:dyDescent="0.25">
      <c r="M199" s="89"/>
    </row>
    <row r="200" spans="13:13" hidden="1" x14ac:dyDescent="0.25">
      <c r="M200" s="89"/>
    </row>
    <row r="201" spans="13:13" hidden="1" x14ac:dyDescent="0.25">
      <c r="M201" s="89"/>
    </row>
    <row r="202" spans="13:13" hidden="1" x14ac:dyDescent="0.25">
      <c r="M202" s="89"/>
    </row>
    <row r="203" spans="13:13" hidden="1" x14ac:dyDescent="0.25">
      <c r="M203" s="89"/>
    </row>
    <row r="204" spans="13:13" hidden="1" x14ac:dyDescent="0.25">
      <c r="M204" s="89"/>
    </row>
    <row r="205" spans="13:13" hidden="1" x14ac:dyDescent="0.25">
      <c r="M205" s="89"/>
    </row>
    <row r="206" spans="13:13" hidden="1" x14ac:dyDescent="0.25">
      <c r="M206" s="89"/>
    </row>
    <row r="207" spans="13:13" hidden="1" x14ac:dyDescent="0.25">
      <c r="M207" s="89"/>
    </row>
    <row r="208" spans="13:13" hidden="1" x14ac:dyDescent="0.25">
      <c r="M208" s="89"/>
    </row>
    <row r="209" spans="13:13" hidden="1" x14ac:dyDescent="0.25">
      <c r="M209" s="89"/>
    </row>
    <row r="210" spans="13:13" hidden="1" x14ac:dyDescent="0.25">
      <c r="M210" s="89"/>
    </row>
    <row r="211" spans="13:13" hidden="1" x14ac:dyDescent="0.25">
      <c r="M211" s="89"/>
    </row>
    <row r="212" spans="13:13" hidden="1" x14ac:dyDescent="0.25">
      <c r="M212" s="89"/>
    </row>
    <row r="213" spans="13:13" hidden="1" x14ac:dyDescent="0.25">
      <c r="M213" s="89"/>
    </row>
    <row r="214" spans="13:13" hidden="1" x14ac:dyDescent="0.25">
      <c r="M214" s="89"/>
    </row>
    <row r="215" spans="13:13" hidden="1" x14ac:dyDescent="0.25">
      <c r="M215" s="89"/>
    </row>
    <row r="216" spans="13:13" hidden="1" x14ac:dyDescent="0.25">
      <c r="M216" s="89"/>
    </row>
    <row r="217" spans="13:13" hidden="1" x14ac:dyDescent="0.25">
      <c r="M217" s="89"/>
    </row>
    <row r="218" spans="13:13" hidden="1" x14ac:dyDescent="0.25">
      <c r="M218" s="89"/>
    </row>
    <row r="219" spans="13:13" hidden="1" x14ac:dyDescent="0.25">
      <c r="M219" s="89"/>
    </row>
    <row r="220" spans="13:13" hidden="1" x14ac:dyDescent="0.25">
      <c r="M220" s="89"/>
    </row>
    <row r="221" spans="13:13" hidden="1" x14ac:dyDescent="0.25">
      <c r="M221" s="89"/>
    </row>
    <row r="222" spans="13:13" hidden="1" x14ac:dyDescent="0.25">
      <c r="M222" s="89"/>
    </row>
    <row r="223" spans="13:13" hidden="1" x14ac:dyDescent="0.25">
      <c r="M223" s="89"/>
    </row>
    <row r="224" spans="13:13" hidden="1" x14ac:dyDescent="0.25">
      <c r="M224" s="89"/>
    </row>
    <row r="225" spans="13:13" hidden="1" x14ac:dyDescent="0.25">
      <c r="M225" s="89"/>
    </row>
    <row r="226" spans="13:13" hidden="1" x14ac:dyDescent="0.25">
      <c r="M226" s="89"/>
    </row>
    <row r="227" spans="13:13" hidden="1" x14ac:dyDescent="0.25">
      <c r="M227" s="89"/>
    </row>
    <row r="228" spans="13:13" hidden="1" x14ac:dyDescent="0.25">
      <c r="M228" s="89"/>
    </row>
    <row r="229" spans="13:13" hidden="1" x14ac:dyDescent="0.25">
      <c r="M229" s="89"/>
    </row>
    <row r="230" spans="13:13" hidden="1" x14ac:dyDescent="0.25">
      <c r="M230" s="89"/>
    </row>
    <row r="231" spans="13:13" hidden="1" x14ac:dyDescent="0.25">
      <c r="M231" s="89"/>
    </row>
    <row r="232" spans="13:13" hidden="1" x14ac:dyDescent="0.25">
      <c r="M232" s="89"/>
    </row>
    <row r="233" spans="13:13" hidden="1" x14ac:dyDescent="0.25">
      <c r="M233" s="89"/>
    </row>
    <row r="234" spans="13:13" hidden="1" x14ac:dyDescent="0.25">
      <c r="M234" s="89"/>
    </row>
    <row r="235" spans="13:13" hidden="1" x14ac:dyDescent="0.25">
      <c r="M235" s="89"/>
    </row>
    <row r="236" spans="13:13" hidden="1" x14ac:dyDescent="0.25">
      <c r="M236" s="89"/>
    </row>
    <row r="237" spans="13:13" hidden="1" x14ac:dyDescent="0.25">
      <c r="M237" s="89"/>
    </row>
    <row r="238" spans="13:13" hidden="1" x14ac:dyDescent="0.25">
      <c r="M238" s="89"/>
    </row>
    <row r="239" spans="13:13" hidden="1" x14ac:dyDescent="0.25">
      <c r="M239" s="89"/>
    </row>
    <row r="240" spans="13:13" hidden="1" x14ac:dyDescent="0.25">
      <c r="M240" s="89"/>
    </row>
    <row r="241" spans="13:13" hidden="1" x14ac:dyDescent="0.25">
      <c r="M241" s="89"/>
    </row>
    <row r="242" spans="13:13" hidden="1" x14ac:dyDescent="0.25">
      <c r="M242" s="89"/>
    </row>
    <row r="243" spans="13:13" hidden="1" x14ac:dyDescent="0.25">
      <c r="M243" s="89"/>
    </row>
    <row r="244" spans="13:13" hidden="1" x14ac:dyDescent="0.25">
      <c r="M244" s="89"/>
    </row>
    <row r="245" spans="13:13" hidden="1" x14ac:dyDescent="0.25">
      <c r="M245" s="89"/>
    </row>
    <row r="246" spans="13:13" hidden="1" x14ac:dyDescent="0.25">
      <c r="M246" s="89"/>
    </row>
    <row r="247" spans="13:13" hidden="1" x14ac:dyDescent="0.25">
      <c r="M247" s="89"/>
    </row>
    <row r="248" spans="13:13" hidden="1" x14ac:dyDescent="0.25">
      <c r="M248" s="89"/>
    </row>
    <row r="249" spans="13:13" hidden="1" x14ac:dyDescent="0.25">
      <c r="M249" s="89"/>
    </row>
    <row r="250" spans="13:13" hidden="1" x14ac:dyDescent="0.25">
      <c r="M250" s="89"/>
    </row>
    <row r="251" spans="13:13" hidden="1" x14ac:dyDescent="0.25">
      <c r="M251" s="89"/>
    </row>
    <row r="252" spans="13:13" hidden="1" x14ac:dyDescent="0.25">
      <c r="M252" s="89"/>
    </row>
    <row r="253" spans="13:13" hidden="1" x14ac:dyDescent="0.25">
      <c r="M253" s="89"/>
    </row>
    <row r="254" spans="13:13" hidden="1" x14ac:dyDescent="0.25">
      <c r="M254" s="89"/>
    </row>
    <row r="255" spans="13:13" hidden="1" x14ac:dyDescent="0.25">
      <c r="M255" s="89"/>
    </row>
    <row r="256" spans="13:13" hidden="1" x14ac:dyDescent="0.25">
      <c r="M256" s="89"/>
    </row>
    <row r="257" spans="13:13" hidden="1" x14ac:dyDescent="0.25">
      <c r="M257" s="89"/>
    </row>
    <row r="258" spans="13:13" hidden="1" x14ac:dyDescent="0.25">
      <c r="M258" s="89"/>
    </row>
    <row r="259" spans="13:13" hidden="1" x14ac:dyDescent="0.25">
      <c r="M259" s="89"/>
    </row>
    <row r="260" spans="13:13" hidden="1" x14ac:dyDescent="0.25">
      <c r="M260" s="89"/>
    </row>
    <row r="261" spans="13:13" hidden="1" x14ac:dyDescent="0.25">
      <c r="M261" s="89"/>
    </row>
    <row r="262" spans="13:13" hidden="1" x14ac:dyDescent="0.25">
      <c r="M262" s="89"/>
    </row>
    <row r="263" spans="13:13" hidden="1" x14ac:dyDescent="0.25">
      <c r="M263" s="89"/>
    </row>
    <row r="264" spans="13:13" hidden="1" x14ac:dyDescent="0.25">
      <c r="M264" s="89"/>
    </row>
    <row r="265" spans="13:13" hidden="1" x14ac:dyDescent="0.25">
      <c r="M265" s="89"/>
    </row>
    <row r="266" spans="13:13" hidden="1" x14ac:dyDescent="0.25">
      <c r="M266" s="89"/>
    </row>
    <row r="267" spans="13:13" hidden="1" x14ac:dyDescent="0.25">
      <c r="M267" s="89"/>
    </row>
    <row r="268" spans="13:13" hidden="1" x14ac:dyDescent="0.25">
      <c r="M268" s="89"/>
    </row>
    <row r="269" spans="13:13" hidden="1" x14ac:dyDescent="0.25">
      <c r="M269" s="89"/>
    </row>
    <row r="270" spans="13:13" hidden="1" x14ac:dyDescent="0.25">
      <c r="M270" s="89"/>
    </row>
    <row r="271" spans="13:13" hidden="1" x14ac:dyDescent="0.25">
      <c r="M271" s="89"/>
    </row>
    <row r="272" spans="13:13" hidden="1" x14ac:dyDescent="0.25">
      <c r="M272" s="89"/>
    </row>
    <row r="273" spans="13:13" hidden="1" x14ac:dyDescent="0.25">
      <c r="M273" s="89"/>
    </row>
    <row r="274" spans="13:13" hidden="1" x14ac:dyDescent="0.25">
      <c r="M274" s="89"/>
    </row>
    <row r="275" spans="13:13" hidden="1" x14ac:dyDescent="0.25">
      <c r="M275" s="89"/>
    </row>
    <row r="276" spans="13:13" hidden="1" x14ac:dyDescent="0.25">
      <c r="M276" s="89"/>
    </row>
    <row r="277" spans="13:13" hidden="1" x14ac:dyDescent="0.25">
      <c r="M277" s="89"/>
    </row>
    <row r="278" spans="13:13" hidden="1" x14ac:dyDescent="0.25">
      <c r="M278" s="89"/>
    </row>
    <row r="279" spans="13:13" hidden="1" x14ac:dyDescent="0.25">
      <c r="M279" s="89"/>
    </row>
    <row r="280" spans="13:13" hidden="1" x14ac:dyDescent="0.25">
      <c r="M280" s="89"/>
    </row>
    <row r="281" spans="13:13" hidden="1" x14ac:dyDescent="0.25">
      <c r="M281" s="89"/>
    </row>
    <row r="282" spans="13:13" hidden="1" x14ac:dyDescent="0.25">
      <c r="M282" s="89"/>
    </row>
    <row r="283" spans="13:13" hidden="1" x14ac:dyDescent="0.25">
      <c r="M283" s="89"/>
    </row>
    <row r="284" spans="13:13" hidden="1" x14ac:dyDescent="0.25">
      <c r="M284" s="89"/>
    </row>
    <row r="285" spans="13:13" hidden="1" x14ac:dyDescent="0.25">
      <c r="M285" s="89"/>
    </row>
    <row r="286" spans="13:13" hidden="1" x14ac:dyDescent="0.25">
      <c r="M286" s="89"/>
    </row>
    <row r="287" spans="13:13" hidden="1" x14ac:dyDescent="0.25">
      <c r="M287" s="89"/>
    </row>
    <row r="288" spans="13:13" hidden="1" x14ac:dyDescent="0.25">
      <c r="M288" s="89"/>
    </row>
    <row r="289" spans="13:13" hidden="1" x14ac:dyDescent="0.25">
      <c r="M289" s="89"/>
    </row>
    <row r="290" spans="13:13" hidden="1" x14ac:dyDescent="0.25">
      <c r="M290" s="89"/>
    </row>
    <row r="291" spans="13:13" hidden="1" x14ac:dyDescent="0.25">
      <c r="M291" s="89"/>
    </row>
    <row r="292" spans="13:13" hidden="1" x14ac:dyDescent="0.25">
      <c r="M292" s="89"/>
    </row>
    <row r="293" spans="13:13" hidden="1" x14ac:dyDescent="0.25">
      <c r="M293" s="89"/>
    </row>
    <row r="294" spans="13:13" hidden="1" x14ac:dyDescent="0.25">
      <c r="M294" s="89"/>
    </row>
    <row r="295" spans="13:13" hidden="1" x14ac:dyDescent="0.25">
      <c r="M295" s="89"/>
    </row>
    <row r="296" spans="13:13" hidden="1" x14ac:dyDescent="0.25">
      <c r="M296" s="89"/>
    </row>
    <row r="297" spans="13:13" hidden="1" x14ac:dyDescent="0.25">
      <c r="M297" s="89"/>
    </row>
    <row r="298" spans="13:13" hidden="1" x14ac:dyDescent="0.25">
      <c r="M298" s="89"/>
    </row>
    <row r="299" spans="13:13" hidden="1" x14ac:dyDescent="0.25">
      <c r="M299" s="89"/>
    </row>
    <row r="300" spans="13:13" hidden="1" x14ac:dyDescent="0.25">
      <c r="M300" s="89"/>
    </row>
    <row r="301" spans="13:13" hidden="1" x14ac:dyDescent="0.25">
      <c r="M301" s="89"/>
    </row>
    <row r="302" spans="13:13" hidden="1" x14ac:dyDescent="0.25">
      <c r="M302" s="89"/>
    </row>
    <row r="303" spans="13:13" hidden="1" x14ac:dyDescent="0.25">
      <c r="M303" s="89"/>
    </row>
    <row r="304" spans="13:13" hidden="1" x14ac:dyDescent="0.25">
      <c r="M304" s="89"/>
    </row>
    <row r="305" spans="13:13" hidden="1" x14ac:dyDescent="0.25">
      <c r="M305" s="89"/>
    </row>
    <row r="306" spans="13:13" hidden="1" x14ac:dyDescent="0.25">
      <c r="M306" s="89"/>
    </row>
    <row r="307" spans="13:13" hidden="1" x14ac:dyDescent="0.25">
      <c r="M307" s="89"/>
    </row>
    <row r="308" spans="13:13" hidden="1" x14ac:dyDescent="0.25">
      <c r="M308" s="89"/>
    </row>
    <row r="309" spans="13:13" hidden="1" x14ac:dyDescent="0.25">
      <c r="M309" s="89"/>
    </row>
    <row r="310" spans="13:13" hidden="1" x14ac:dyDescent="0.25">
      <c r="M310" s="89"/>
    </row>
    <row r="311" spans="13:13" hidden="1" x14ac:dyDescent="0.25">
      <c r="M311" s="89"/>
    </row>
    <row r="312" spans="13:13" hidden="1" x14ac:dyDescent="0.25">
      <c r="M312" s="89"/>
    </row>
    <row r="313" spans="13:13" hidden="1" x14ac:dyDescent="0.25">
      <c r="M313" s="89"/>
    </row>
    <row r="314" spans="13:13" hidden="1" x14ac:dyDescent="0.25">
      <c r="M314" s="89"/>
    </row>
    <row r="315" spans="13:13" hidden="1" x14ac:dyDescent="0.25">
      <c r="M315" s="89"/>
    </row>
    <row r="316" spans="13:13" hidden="1" x14ac:dyDescent="0.25">
      <c r="M316" s="89"/>
    </row>
    <row r="317" spans="13:13" hidden="1" x14ac:dyDescent="0.25">
      <c r="M317" s="89"/>
    </row>
    <row r="318" spans="13:13" hidden="1" x14ac:dyDescent="0.25">
      <c r="M318" s="89"/>
    </row>
    <row r="319" spans="13:13" hidden="1" x14ac:dyDescent="0.25">
      <c r="M319" s="89"/>
    </row>
    <row r="320" spans="13:13" hidden="1" x14ac:dyDescent="0.25">
      <c r="M320" s="89"/>
    </row>
    <row r="321" spans="13:13" hidden="1" x14ac:dyDescent="0.25">
      <c r="M321" s="89"/>
    </row>
    <row r="322" spans="13:13" hidden="1" x14ac:dyDescent="0.25">
      <c r="M322" s="89"/>
    </row>
    <row r="323" spans="13:13" hidden="1" x14ac:dyDescent="0.25">
      <c r="M323" s="89"/>
    </row>
    <row r="324" spans="13:13" hidden="1" x14ac:dyDescent="0.25">
      <c r="M324" s="89"/>
    </row>
    <row r="325" spans="13:13" hidden="1" x14ac:dyDescent="0.25">
      <c r="M325" s="89"/>
    </row>
    <row r="326" spans="13:13" hidden="1" x14ac:dyDescent="0.25">
      <c r="M326" s="89"/>
    </row>
    <row r="327" spans="13:13" hidden="1" x14ac:dyDescent="0.25">
      <c r="M327" s="89"/>
    </row>
    <row r="328" spans="13:13" hidden="1" x14ac:dyDescent="0.25">
      <c r="M328" s="89"/>
    </row>
    <row r="329" spans="13:13" hidden="1" x14ac:dyDescent="0.25">
      <c r="M329" s="89"/>
    </row>
    <row r="330" spans="13:13" hidden="1" x14ac:dyDescent="0.25">
      <c r="M330" s="89"/>
    </row>
    <row r="331" spans="13:13" hidden="1" x14ac:dyDescent="0.25">
      <c r="M331" s="89"/>
    </row>
    <row r="332" spans="13:13" hidden="1" x14ac:dyDescent="0.25">
      <c r="M332" s="89"/>
    </row>
    <row r="333" spans="13:13" hidden="1" x14ac:dyDescent="0.25">
      <c r="M333" s="89"/>
    </row>
    <row r="334" spans="13:13" hidden="1" x14ac:dyDescent="0.25">
      <c r="M334" s="89"/>
    </row>
    <row r="335" spans="13:13" hidden="1" x14ac:dyDescent="0.25">
      <c r="M335" s="89"/>
    </row>
    <row r="336" spans="13:13" hidden="1" x14ac:dyDescent="0.25">
      <c r="M336" s="89"/>
    </row>
    <row r="337" spans="13:13" hidden="1" x14ac:dyDescent="0.25">
      <c r="M337" s="89"/>
    </row>
    <row r="338" spans="13:13" hidden="1" x14ac:dyDescent="0.25">
      <c r="M338" s="89"/>
    </row>
    <row r="339" spans="13:13" hidden="1" x14ac:dyDescent="0.25">
      <c r="M339" s="89"/>
    </row>
    <row r="340" spans="13:13" hidden="1" x14ac:dyDescent="0.25">
      <c r="M340" s="89"/>
    </row>
    <row r="341" spans="13:13" hidden="1" x14ac:dyDescent="0.25">
      <c r="M341" s="89"/>
    </row>
    <row r="342" spans="13:13" hidden="1" x14ac:dyDescent="0.25">
      <c r="M342" s="89"/>
    </row>
    <row r="343" spans="13:13" hidden="1" x14ac:dyDescent="0.25">
      <c r="M343" s="89"/>
    </row>
    <row r="344" spans="13:13" hidden="1" x14ac:dyDescent="0.25">
      <c r="M344" s="89"/>
    </row>
    <row r="345" spans="13:13" hidden="1" x14ac:dyDescent="0.25">
      <c r="M345" s="89"/>
    </row>
    <row r="346" spans="13:13" hidden="1" x14ac:dyDescent="0.25">
      <c r="M346" s="89"/>
    </row>
    <row r="347" spans="13:13" hidden="1" x14ac:dyDescent="0.25">
      <c r="M347" s="89"/>
    </row>
    <row r="348" spans="13:13" hidden="1" x14ac:dyDescent="0.25">
      <c r="M348" s="89"/>
    </row>
    <row r="349" spans="13:13" hidden="1" x14ac:dyDescent="0.25">
      <c r="M349" s="89"/>
    </row>
    <row r="350" spans="13:13" hidden="1" x14ac:dyDescent="0.25">
      <c r="M350" s="89"/>
    </row>
    <row r="351" spans="13:13" hidden="1" x14ac:dyDescent="0.25">
      <c r="M351" s="89"/>
    </row>
    <row r="352" spans="13:13" hidden="1" x14ac:dyDescent="0.25">
      <c r="M352" s="89"/>
    </row>
    <row r="353" spans="13:13" hidden="1" x14ac:dyDescent="0.25">
      <c r="M353" s="89"/>
    </row>
    <row r="354" spans="13:13" hidden="1" x14ac:dyDescent="0.25">
      <c r="M354" s="89"/>
    </row>
    <row r="355" spans="13:13" hidden="1" x14ac:dyDescent="0.25">
      <c r="M355" s="89"/>
    </row>
    <row r="356" spans="13:13" hidden="1" x14ac:dyDescent="0.25">
      <c r="M356" s="89"/>
    </row>
    <row r="357" spans="13:13" hidden="1" x14ac:dyDescent="0.25">
      <c r="M357" s="89"/>
    </row>
    <row r="358" spans="13:13" hidden="1" x14ac:dyDescent="0.25">
      <c r="M358" s="89"/>
    </row>
    <row r="359" spans="13:13" hidden="1" x14ac:dyDescent="0.25">
      <c r="M359" s="89"/>
    </row>
    <row r="360" spans="13:13" hidden="1" x14ac:dyDescent="0.25">
      <c r="M360" s="89"/>
    </row>
    <row r="361" spans="13:13" hidden="1" x14ac:dyDescent="0.25">
      <c r="M361" s="89"/>
    </row>
    <row r="362" spans="13:13" hidden="1" x14ac:dyDescent="0.25">
      <c r="M362" s="89"/>
    </row>
    <row r="363" spans="13:13" hidden="1" x14ac:dyDescent="0.25">
      <c r="M363" s="89"/>
    </row>
    <row r="364" spans="13:13" hidden="1" x14ac:dyDescent="0.25">
      <c r="M364" s="89"/>
    </row>
    <row r="365" spans="13:13" hidden="1" x14ac:dyDescent="0.25">
      <c r="M365" s="89"/>
    </row>
    <row r="366" spans="13:13" hidden="1" x14ac:dyDescent="0.25">
      <c r="M366" s="89"/>
    </row>
    <row r="367" spans="13:13" hidden="1" x14ac:dyDescent="0.25">
      <c r="M367" s="89"/>
    </row>
    <row r="368" spans="13:13" hidden="1" x14ac:dyDescent="0.25">
      <c r="M368" s="89"/>
    </row>
    <row r="369" spans="13:13" hidden="1" x14ac:dyDescent="0.25">
      <c r="M369" s="89"/>
    </row>
    <row r="370" spans="13:13" hidden="1" x14ac:dyDescent="0.25">
      <c r="M370" s="89"/>
    </row>
    <row r="371" spans="13:13" hidden="1" x14ac:dyDescent="0.25">
      <c r="M371" s="89"/>
    </row>
    <row r="372" spans="13:13" hidden="1" x14ac:dyDescent="0.25">
      <c r="M372" s="89"/>
    </row>
    <row r="373" spans="13:13" hidden="1" x14ac:dyDescent="0.25">
      <c r="M373" s="89"/>
    </row>
    <row r="374" spans="13:13" hidden="1" x14ac:dyDescent="0.25">
      <c r="M374" s="89"/>
    </row>
    <row r="375" spans="13:13" hidden="1" x14ac:dyDescent="0.25">
      <c r="M375" s="89"/>
    </row>
    <row r="376" spans="13:13" hidden="1" x14ac:dyDescent="0.25">
      <c r="M376" s="89"/>
    </row>
    <row r="377" spans="13:13" hidden="1" x14ac:dyDescent="0.25">
      <c r="M377" s="89"/>
    </row>
    <row r="378" spans="13:13" hidden="1" x14ac:dyDescent="0.25">
      <c r="M378" s="89"/>
    </row>
    <row r="379" spans="13:13" hidden="1" x14ac:dyDescent="0.25">
      <c r="M379" s="89"/>
    </row>
    <row r="380" spans="13:13" hidden="1" x14ac:dyDescent="0.25">
      <c r="M380" s="89"/>
    </row>
    <row r="381" spans="13:13" hidden="1" x14ac:dyDescent="0.25">
      <c r="M381" s="89"/>
    </row>
    <row r="382" spans="13:13" hidden="1" x14ac:dyDescent="0.25">
      <c r="M382" s="89"/>
    </row>
    <row r="383" spans="13:13" hidden="1" x14ac:dyDescent="0.25">
      <c r="M383" s="89"/>
    </row>
    <row r="384" spans="13:13" hidden="1" x14ac:dyDescent="0.25">
      <c r="M384" s="89"/>
    </row>
    <row r="385" spans="13:13" hidden="1" x14ac:dyDescent="0.25">
      <c r="M385" s="89"/>
    </row>
    <row r="386" spans="13:13" hidden="1" x14ac:dyDescent="0.25">
      <c r="M386" s="89"/>
    </row>
    <row r="387" spans="13:13" hidden="1" x14ac:dyDescent="0.25">
      <c r="M387" s="89"/>
    </row>
    <row r="388" spans="13:13" hidden="1" x14ac:dyDescent="0.25">
      <c r="M388" s="89"/>
    </row>
    <row r="389" spans="13:13" hidden="1" x14ac:dyDescent="0.25">
      <c r="M389" s="89"/>
    </row>
    <row r="390" spans="13:13" hidden="1" x14ac:dyDescent="0.25">
      <c r="M390" s="89"/>
    </row>
    <row r="391" spans="13:13" hidden="1" x14ac:dyDescent="0.25">
      <c r="M391" s="89"/>
    </row>
    <row r="392" spans="13:13" hidden="1" x14ac:dyDescent="0.25">
      <c r="M392" s="89"/>
    </row>
    <row r="393" spans="13:13" hidden="1" x14ac:dyDescent="0.25">
      <c r="M393" s="89"/>
    </row>
    <row r="394" spans="13:13" hidden="1" x14ac:dyDescent="0.25">
      <c r="M394" s="89"/>
    </row>
    <row r="395" spans="13:13" hidden="1" x14ac:dyDescent="0.25">
      <c r="M395" s="89"/>
    </row>
    <row r="396" spans="13:13" hidden="1" x14ac:dyDescent="0.25">
      <c r="M396" s="89"/>
    </row>
    <row r="397" spans="13:13" hidden="1" x14ac:dyDescent="0.25">
      <c r="M397" s="89"/>
    </row>
    <row r="398" spans="13:13" hidden="1" x14ac:dyDescent="0.25">
      <c r="M398" s="89"/>
    </row>
    <row r="399" spans="13:13" hidden="1" x14ac:dyDescent="0.25">
      <c r="M399" s="89"/>
    </row>
    <row r="400" spans="13:13" hidden="1" x14ac:dyDescent="0.25">
      <c r="M400" s="89"/>
    </row>
    <row r="401" spans="13:13" hidden="1" x14ac:dyDescent="0.25">
      <c r="M401" s="89"/>
    </row>
    <row r="402" spans="13:13" hidden="1" x14ac:dyDescent="0.25">
      <c r="M402" s="89"/>
    </row>
    <row r="403" spans="13:13" hidden="1" x14ac:dyDescent="0.25">
      <c r="M403" s="89"/>
    </row>
    <row r="404" spans="13:13" hidden="1" x14ac:dyDescent="0.25">
      <c r="M404" s="89"/>
    </row>
    <row r="405" spans="13:13" hidden="1" x14ac:dyDescent="0.25">
      <c r="M405" s="89"/>
    </row>
    <row r="406" spans="13:13" hidden="1" x14ac:dyDescent="0.25">
      <c r="M406" s="89"/>
    </row>
    <row r="407" spans="13:13" hidden="1" x14ac:dyDescent="0.25">
      <c r="M407" s="89"/>
    </row>
    <row r="408" spans="13:13" hidden="1" x14ac:dyDescent="0.25">
      <c r="M408" s="89"/>
    </row>
    <row r="409" spans="13:13" hidden="1" x14ac:dyDescent="0.25">
      <c r="M409" s="89"/>
    </row>
    <row r="410" spans="13:13" hidden="1" x14ac:dyDescent="0.25">
      <c r="M410" s="89"/>
    </row>
    <row r="411" spans="13:13" hidden="1" x14ac:dyDescent="0.25">
      <c r="M411" s="89"/>
    </row>
    <row r="412" spans="13:13" hidden="1" x14ac:dyDescent="0.25">
      <c r="M412" s="89"/>
    </row>
    <row r="413" spans="13:13" hidden="1" x14ac:dyDescent="0.25">
      <c r="M413" s="89"/>
    </row>
    <row r="414" spans="13:13" hidden="1" x14ac:dyDescent="0.25">
      <c r="M414" s="89"/>
    </row>
    <row r="415" spans="13:13" hidden="1" x14ac:dyDescent="0.25">
      <c r="M415" s="89"/>
    </row>
    <row r="416" spans="13:13" hidden="1" x14ac:dyDescent="0.25">
      <c r="M416" s="89"/>
    </row>
    <row r="417" spans="13:13" hidden="1" x14ac:dyDescent="0.25">
      <c r="M417" s="89"/>
    </row>
    <row r="418" spans="13:13" hidden="1" x14ac:dyDescent="0.25">
      <c r="M418" s="89"/>
    </row>
    <row r="419" spans="13:13" hidden="1" x14ac:dyDescent="0.25">
      <c r="M419" s="89"/>
    </row>
    <row r="420" spans="13:13" hidden="1" x14ac:dyDescent="0.25">
      <c r="M420" s="89"/>
    </row>
    <row r="421" spans="13:13" hidden="1" x14ac:dyDescent="0.25">
      <c r="M421" s="89"/>
    </row>
    <row r="422" spans="13:13" hidden="1" x14ac:dyDescent="0.25">
      <c r="M422" s="89"/>
    </row>
    <row r="423" spans="13:13" hidden="1" x14ac:dyDescent="0.25">
      <c r="M423" s="89"/>
    </row>
    <row r="424" spans="13:13" hidden="1" x14ac:dyDescent="0.25">
      <c r="M424" s="89"/>
    </row>
    <row r="425" spans="13:13" hidden="1" x14ac:dyDescent="0.25">
      <c r="M425" s="89"/>
    </row>
    <row r="426" spans="13:13" hidden="1" x14ac:dyDescent="0.25">
      <c r="M426" s="89"/>
    </row>
    <row r="427" spans="13:13" hidden="1" x14ac:dyDescent="0.25">
      <c r="M427" s="89"/>
    </row>
    <row r="428" spans="13:13" hidden="1" x14ac:dyDescent="0.25">
      <c r="M428" s="89"/>
    </row>
    <row r="429" spans="13:13" hidden="1" x14ac:dyDescent="0.25">
      <c r="M429" s="89"/>
    </row>
    <row r="430" spans="13:13" hidden="1" x14ac:dyDescent="0.25">
      <c r="M430" s="89"/>
    </row>
    <row r="431" spans="13:13" hidden="1" x14ac:dyDescent="0.25">
      <c r="M431" s="89"/>
    </row>
    <row r="432" spans="13:13" hidden="1" x14ac:dyDescent="0.25">
      <c r="M432" s="89"/>
    </row>
    <row r="433" spans="13:13" hidden="1" x14ac:dyDescent="0.25">
      <c r="M433" s="89"/>
    </row>
    <row r="434" spans="13:13" hidden="1" x14ac:dyDescent="0.25">
      <c r="M434" s="89"/>
    </row>
    <row r="435" spans="13:13" hidden="1" x14ac:dyDescent="0.25">
      <c r="M435" s="89"/>
    </row>
    <row r="436" spans="13:13" hidden="1" x14ac:dyDescent="0.25">
      <c r="M436" s="89"/>
    </row>
    <row r="437" spans="13:13" hidden="1" x14ac:dyDescent="0.25">
      <c r="M437" s="89"/>
    </row>
    <row r="438" spans="13:13" hidden="1" x14ac:dyDescent="0.25">
      <c r="M438" s="89"/>
    </row>
    <row r="439" spans="13:13" hidden="1" x14ac:dyDescent="0.25">
      <c r="M439" s="89"/>
    </row>
    <row r="440" spans="13:13" hidden="1" x14ac:dyDescent="0.25">
      <c r="M440" s="89"/>
    </row>
    <row r="441" spans="13:13" hidden="1" x14ac:dyDescent="0.25">
      <c r="M441" s="89"/>
    </row>
    <row r="442" spans="13:13" hidden="1" x14ac:dyDescent="0.25">
      <c r="M442" s="89"/>
    </row>
    <row r="443" spans="13:13" hidden="1" x14ac:dyDescent="0.25">
      <c r="M443" s="89"/>
    </row>
    <row r="444" spans="13:13" hidden="1" x14ac:dyDescent="0.25">
      <c r="M444" s="89"/>
    </row>
    <row r="445" spans="13:13" hidden="1" x14ac:dyDescent="0.25">
      <c r="M445" s="89"/>
    </row>
    <row r="446" spans="13:13" hidden="1" x14ac:dyDescent="0.25">
      <c r="M446" s="89"/>
    </row>
    <row r="447" spans="13:13" hidden="1" x14ac:dyDescent="0.25">
      <c r="M447" s="89"/>
    </row>
    <row r="448" spans="13:13" hidden="1" x14ac:dyDescent="0.25">
      <c r="M448" s="89"/>
    </row>
    <row r="449" spans="13:13" hidden="1" x14ac:dyDescent="0.25">
      <c r="M449" s="89"/>
    </row>
    <row r="450" spans="13:13" hidden="1" x14ac:dyDescent="0.25">
      <c r="M450" s="89"/>
    </row>
    <row r="451" spans="13:13" hidden="1" x14ac:dyDescent="0.25">
      <c r="M451" s="89"/>
    </row>
    <row r="452" spans="13:13" hidden="1" x14ac:dyDescent="0.25">
      <c r="M452" s="89"/>
    </row>
    <row r="453" spans="13:13" hidden="1" x14ac:dyDescent="0.25">
      <c r="M453" s="89"/>
    </row>
    <row r="454" spans="13:13" hidden="1" x14ac:dyDescent="0.25">
      <c r="M454" s="89"/>
    </row>
    <row r="455" spans="13:13" hidden="1" x14ac:dyDescent="0.25">
      <c r="M455" s="89"/>
    </row>
    <row r="456" spans="13:13" hidden="1" x14ac:dyDescent="0.25">
      <c r="M456" s="89"/>
    </row>
    <row r="457" spans="13:13" hidden="1" x14ac:dyDescent="0.25">
      <c r="M457" s="89"/>
    </row>
    <row r="458" spans="13:13" hidden="1" x14ac:dyDescent="0.25">
      <c r="M458" s="89"/>
    </row>
    <row r="459" spans="13:13" hidden="1" x14ac:dyDescent="0.25">
      <c r="M459" s="89"/>
    </row>
    <row r="460" spans="13:13" hidden="1" x14ac:dyDescent="0.25">
      <c r="M460" s="89"/>
    </row>
    <row r="461" spans="13:13" hidden="1" x14ac:dyDescent="0.25">
      <c r="M461" s="89"/>
    </row>
    <row r="462" spans="13:13" hidden="1" x14ac:dyDescent="0.25">
      <c r="M462" s="89"/>
    </row>
    <row r="463" spans="13:13" hidden="1" x14ac:dyDescent="0.25">
      <c r="M463" s="89"/>
    </row>
    <row r="464" spans="13:13" hidden="1" x14ac:dyDescent="0.25">
      <c r="M464" s="89"/>
    </row>
    <row r="465" spans="13:13" hidden="1" x14ac:dyDescent="0.25">
      <c r="M465" s="89"/>
    </row>
    <row r="466" spans="13:13" hidden="1" x14ac:dyDescent="0.25">
      <c r="M466" s="89"/>
    </row>
    <row r="467" spans="13:13" hidden="1" x14ac:dyDescent="0.25">
      <c r="M467" s="89"/>
    </row>
    <row r="468" spans="13:13" hidden="1" x14ac:dyDescent="0.25">
      <c r="M468" s="89"/>
    </row>
    <row r="469" spans="13:13" hidden="1" x14ac:dyDescent="0.25">
      <c r="M469" s="89"/>
    </row>
    <row r="470" spans="13:13" hidden="1" x14ac:dyDescent="0.25">
      <c r="M470" s="89"/>
    </row>
    <row r="471" spans="13:13" hidden="1" x14ac:dyDescent="0.25">
      <c r="M471" s="89"/>
    </row>
    <row r="472" spans="13:13" hidden="1" x14ac:dyDescent="0.25">
      <c r="M472" s="89"/>
    </row>
    <row r="473" spans="13:13" hidden="1" x14ac:dyDescent="0.25">
      <c r="M473" s="89"/>
    </row>
    <row r="474" spans="13:13" hidden="1" x14ac:dyDescent="0.25">
      <c r="M474" s="89"/>
    </row>
    <row r="475" spans="13:13" hidden="1" x14ac:dyDescent="0.25">
      <c r="M475" s="89"/>
    </row>
    <row r="476" spans="13:13" hidden="1" x14ac:dyDescent="0.25">
      <c r="M476" s="89"/>
    </row>
    <row r="477" spans="13:13" hidden="1" x14ac:dyDescent="0.25">
      <c r="M477" s="89"/>
    </row>
    <row r="478" spans="13:13" hidden="1" x14ac:dyDescent="0.25">
      <c r="M478" s="89"/>
    </row>
    <row r="479" spans="13:13" hidden="1" x14ac:dyDescent="0.25">
      <c r="M479" s="89"/>
    </row>
    <row r="480" spans="13:13" hidden="1" x14ac:dyDescent="0.25">
      <c r="M480" s="89"/>
    </row>
    <row r="481" spans="13:13" hidden="1" x14ac:dyDescent="0.25">
      <c r="M481" s="89"/>
    </row>
    <row r="482" spans="13:13" hidden="1" x14ac:dyDescent="0.25">
      <c r="M482" s="89"/>
    </row>
    <row r="483" spans="13:13" hidden="1" x14ac:dyDescent="0.25">
      <c r="M483" s="89"/>
    </row>
    <row r="484" spans="13:13" hidden="1" x14ac:dyDescent="0.25">
      <c r="M484" s="89"/>
    </row>
    <row r="485" spans="13:13" hidden="1" x14ac:dyDescent="0.25">
      <c r="M485" s="89"/>
    </row>
    <row r="486" spans="13:13" hidden="1" x14ac:dyDescent="0.25">
      <c r="M486" s="89"/>
    </row>
    <row r="487" spans="13:13" hidden="1" x14ac:dyDescent="0.25">
      <c r="M487" s="89"/>
    </row>
    <row r="488" spans="13:13" hidden="1" x14ac:dyDescent="0.25">
      <c r="M488" s="89"/>
    </row>
    <row r="489" spans="13:13" hidden="1" x14ac:dyDescent="0.25">
      <c r="M489" s="89"/>
    </row>
    <row r="490" spans="13:13" hidden="1" x14ac:dyDescent="0.25">
      <c r="M490" s="89"/>
    </row>
    <row r="491" spans="13:13" hidden="1" x14ac:dyDescent="0.25">
      <c r="M491" s="89"/>
    </row>
    <row r="492" spans="13:13" hidden="1" x14ac:dyDescent="0.25">
      <c r="M492" s="89"/>
    </row>
    <row r="493" spans="13:13" hidden="1" x14ac:dyDescent="0.25">
      <c r="M493" s="89"/>
    </row>
    <row r="494" spans="13:13" hidden="1" x14ac:dyDescent="0.25">
      <c r="M494" s="89"/>
    </row>
    <row r="495" spans="13:13" hidden="1" x14ac:dyDescent="0.25">
      <c r="M495" s="89"/>
    </row>
    <row r="496" spans="13:13" hidden="1" x14ac:dyDescent="0.25">
      <c r="M496" s="89"/>
    </row>
    <row r="497" spans="13:13" hidden="1" x14ac:dyDescent="0.25">
      <c r="M497" s="89"/>
    </row>
    <row r="498" spans="13:13" hidden="1" x14ac:dyDescent="0.25">
      <c r="M498" s="89"/>
    </row>
    <row r="499" spans="13:13" hidden="1" x14ac:dyDescent="0.25">
      <c r="M499" s="89"/>
    </row>
    <row r="500" spans="13:13" hidden="1" x14ac:dyDescent="0.25">
      <c r="M500" s="89"/>
    </row>
    <row r="501" spans="13:13" hidden="1" x14ac:dyDescent="0.25">
      <c r="M501" s="89"/>
    </row>
    <row r="502" spans="13:13" hidden="1" x14ac:dyDescent="0.25">
      <c r="M502" s="89"/>
    </row>
    <row r="503" spans="13:13" hidden="1" x14ac:dyDescent="0.25">
      <c r="M503" s="89"/>
    </row>
    <row r="504" spans="13:13" hidden="1" x14ac:dyDescent="0.25">
      <c r="M504" s="89"/>
    </row>
    <row r="505" spans="13:13" hidden="1" x14ac:dyDescent="0.25">
      <c r="M505" s="89"/>
    </row>
    <row r="506" spans="13:13" hidden="1" x14ac:dyDescent="0.25">
      <c r="M506" s="89"/>
    </row>
    <row r="507" spans="13:13" hidden="1" x14ac:dyDescent="0.25">
      <c r="M507" s="89"/>
    </row>
    <row r="508" spans="13:13" hidden="1" x14ac:dyDescent="0.25">
      <c r="M508" s="89"/>
    </row>
    <row r="509" spans="13:13" hidden="1" x14ac:dyDescent="0.25">
      <c r="M509" s="89"/>
    </row>
    <row r="510" spans="13:13" hidden="1" x14ac:dyDescent="0.25">
      <c r="M510" s="89"/>
    </row>
    <row r="511" spans="13:13" hidden="1" x14ac:dyDescent="0.25">
      <c r="M511" s="89"/>
    </row>
    <row r="512" spans="13:13" hidden="1" x14ac:dyDescent="0.25">
      <c r="M512" s="89"/>
    </row>
    <row r="513" spans="13:13" hidden="1" x14ac:dyDescent="0.25">
      <c r="M513" s="89"/>
    </row>
    <row r="514" spans="13:13" hidden="1" x14ac:dyDescent="0.25">
      <c r="M514" s="89"/>
    </row>
    <row r="515" spans="13:13" hidden="1" x14ac:dyDescent="0.25">
      <c r="M515" s="89"/>
    </row>
    <row r="516" spans="13:13" hidden="1" x14ac:dyDescent="0.25">
      <c r="M516" s="89"/>
    </row>
    <row r="517" spans="13:13" hidden="1" x14ac:dyDescent="0.25">
      <c r="M517" s="89"/>
    </row>
    <row r="518" spans="13:13" hidden="1" x14ac:dyDescent="0.25">
      <c r="M518" s="89"/>
    </row>
    <row r="519" spans="13:13" hidden="1" x14ac:dyDescent="0.25">
      <c r="M519" s="89"/>
    </row>
    <row r="520" spans="13:13" hidden="1" x14ac:dyDescent="0.25">
      <c r="M520" s="89"/>
    </row>
    <row r="521" spans="13:13" hidden="1" x14ac:dyDescent="0.25">
      <c r="M521" s="89"/>
    </row>
    <row r="522" spans="13:13" hidden="1" x14ac:dyDescent="0.25">
      <c r="M522" s="89"/>
    </row>
    <row r="523" spans="13:13" hidden="1" x14ac:dyDescent="0.25">
      <c r="M523" s="89"/>
    </row>
    <row r="524" spans="13:13" hidden="1" x14ac:dyDescent="0.25">
      <c r="M524" s="89"/>
    </row>
    <row r="525" spans="13:13" hidden="1" x14ac:dyDescent="0.25">
      <c r="M525" s="89"/>
    </row>
    <row r="526" spans="13:13" hidden="1" x14ac:dyDescent="0.25">
      <c r="M526" s="89"/>
    </row>
    <row r="527" spans="13:13" hidden="1" x14ac:dyDescent="0.25">
      <c r="M527" s="89"/>
    </row>
    <row r="528" spans="13:13" hidden="1" x14ac:dyDescent="0.25">
      <c r="M528" s="89"/>
    </row>
    <row r="529" spans="13:13" hidden="1" x14ac:dyDescent="0.25">
      <c r="M529" s="89"/>
    </row>
    <row r="530" spans="13:13" hidden="1" x14ac:dyDescent="0.25">
      <c r="M530" s="89"/>
    </row>
    <row r="531" spans="13:13" hidden="1" x14ac:dyDescent="0.25">
      <c r="M531" s="89"/>
    </row>
    <row r="532" spans="13:13" hidden="1" x14ac:dyDescent="0.25">
      <c r="M532" s="89"/>
    </row>
    <row r="533" spans="13:13" hidden="1" x14ac:dyDescent="0.25">
      <c r="M533" s="89"/>
    </row>
    <row r="534" spans="13:13" hidden="1" x14ac:dyDescent="0.25">
      <c r="M534" s="89"/>
    </row>
    <row r="535" spans="13:13" hidden="1" x14ac:dyDescent="0.25">
      <c r="M535" s="89"/>
    </row>
    <row r="536" spans="13:13" hidden="1" x14ac:dyDescent="0.25">
      <c r="M536" s="89"/>
    </row>
    <row r="537" spans="13:13" hidden="1" x14ac:dyDescent="0.25">
      <c r="M537" s="89"/>
    </row>
    <row r="538" spans="13:13" hidden="1" x14ac:dyDescent="0.25">
      <c r="M538" s="89"/>
    </row>
    <row r="539" spans="13:13" hidden="1" x14ac:dyDescent="0.25">
      <c r="M539" s="89"/>
    </row>
    <row r="540" spans="13:13" hidden="1" x14ac:dyDescent="0.25">
      <c r="M540" s="89"/>
    </row>
    <row r="541" spans="13:13" hidden="1" x14ac:dyDescent="0.25">
      <c r="M541" s="89"/>
    </row>
    <row r="542" spans="13:13" hidden="1" x14ac:dyDescent="0.25">
      <c r="M542" s="89"/>
    </row>
    <row r="543" spans="13:13" hidden="1" x14ac:dyDescent="0.25">
      <c r="M543" s="89"/>
    </row>
    <row r="544" spans="13:13" hidden="1" x14ac:dyDescent="0.25">
      <c r="M544" s="89"/>
    </row>
    <row r="545" spans="13:13" hidden="1" x14ac:dyDescent="0.25">
      <c r="M545" s="89"/>
    </row>
    <row r="546" spans="13:13" hidden="1" x14ac:dyDescent="0.25">
      <c r="M546" s="89"/>
    </row>
    <row r="547" spans="13:13" hidden="1" x14ac:dyDescent="0.25">
      <c r="M547" s="89"/>
    </row>
    <row r="548" spans="13:13" hidden="1" x14ac:dyDescent="0.25">
      <c r="M548" s="89"/>
    </row>
    <row r="549" spans="13:13" hidden="1" x14ac:dyDescent="0.25">
      <c r="M549" s="89"/>
    </row>
    <row r="550" spans="13:13" hidden="1" x14ac:dyDescent="0.25">
      <c r="M550" s="89"/>
    </row>
    <row r="551" spans="13:13" hidden="1" x14ac:dyDescent="0.25">
      <c r="M551" s="89"/>
    </row>
    <row r="552" spans="13:13" hidden="1" x14ac:dyDescent="0.25">
      <c r="M552" s="89"/>
    </row>
    <row r="553" spans="13:13" hidden="1" x14ac:dyDescent="0.25">
      <c r="M553" s="89"/>
    </row>
    <row r="554" spans="13:13" hidden="1" x14ac:dyDescent="0.25">
      <c r="M554" s="89"/>
    </row>
    <row r="555" spans="13:13" hidden="1" x14ac:dyDescent="0.25">
      <c r="M555" s="89"/>
    </row>
    <row r="556" spans="13:13" hidden="1" x14ac:dyDescent="0.25">
      <c r="M556" s="89"/>
    </row>
    <row r="557" spans="13:13" hidden="1" x14ac:dyDescent="0.25">
      <c r="M557" s="89"/>
    </row>
    <row r="558" spans="13:13" hidden="1" x14ac:dyDescent="0.25">
      <c r="M558" s="89"/>
    </row>
    <row r="559" spans="13:13" hidden="1" x14ac:dyDescent="0.25">
      <c r="M559" s="89"/>
    </row>
    <row r="560" spans="13:13" hidden="1" x14ac:dyDescent="0.25">
      <c r="M560" s="89"/>
    </row>
    <row r="561" spans="13:13" hidden="1" x14ac:dyDescent="0.25">
      <c r="M561" s="89"/>
    </row>
    <row r="562" spans="13:13" hidden="1" x14ac:dyDescent="0.25">
      <c r="M562" s="89"/>
    </row>
    <row r="563" spans="13:13" hidden="1" x14ac:dyDescent="0.25">
      <c r="M563" s="89"/>
    </row>
    <row r="564" spans="13:13" hidden="1" x14ac:dyDescent="0.25">
      <c r="M564" s="89"/>
    </row>
    <row r="565" spans="13:13" hidden="1" x14ac:dyDescent="0.25">
      <c r="M565" s="89"/>
    </row>
    <row r="566" spans="13:13" hidden="1" x14ac:dyDescent="0.25">
      <c r="M566" s="89"/>
    </row>
    <row r="567" spans="13:13" hidden="1" x14ac:dyDescent="0.25">
      <c r="M567" s="89"/>
    </row>
    <row r="568" spans="13:13" hidden="1" x14ac:dyDescent="0.25">
      <c r="M568" s="89"/>
    </row>
    <row r="569" spans="13:13" hidden="1" x14ac:dyDescent="0.25">
      <c r="M569" s="89"/>
    </row>
    <row r="570" spans="13:13" hidden="1" x14ac:dyDescent="0.25">
      <c r="M570" s="89"/>
    </row>
    <row r="571" spans="13:13" hidden="1" x14ac:dyDescent="0.25">
      <c r="M571" s="89"/>
    </row>
    <row r="572" spans="13:13" hidden="1" x14ac:dyDescent="0.25">
      <c r="M572" s="89"/>
    </row>
    <row r="573" spans="13:13" hidden="1" x14ac:dyDescent="0.25">
      <c r="M573" s="89"/>
    </row>
    <row r="574" spans="13:13" hidden="1" x14ac:dyDescent="0.25">
      <c r="M574" s="89"/>
    </row>
    <row r="575" spans="13:13" hidden="1" x14ac:dyDescent="0.25">
      <c r="M575" s="89"/>
    </row>
    <row r="576" spans="13:13" hidden="1" x14ac:dyDescent="0.25">
      <c r="M576" s="89"/>
    </row>
    <row r="577" spans="6:28" hidden="1" x14ac:dyDescent="0.25">
      <c r="M577" s="89"/>
    </row>
    <row r="578" spans="6:28" s="87" customFormat="1" ht="23.25" customHeight="1" x14ac:dyDescent="0.25">
      <c r="F578" s="88"/>
      <c r="H578" s="89"/>
      <c r="I578" s="89"/>
      <c r="J578" s="89"/>
      <c r="K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</row>
  </sheetData>
  <sheetProtection algorithmName="SHA-512" hashValue="kIzo4nKHEuVRg5+9q0qqKO+2E+47E5LPfiWaTEqD748QDX+QWGmkfR8Johlyg62phCmG8UNQWS4SKsopt0l9BQ==" saltValue="1K+9dPA8q7U2f9nDKUmuKA==" spinCount="100000" sheet="1" objects="1" scenarios="1" selectLockedCell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3:F23"/>
    <mergeCell ref="A1:F1"/>
    <mergeCell ref="A2:F2"/>
    <mergeCell ref="F9:F11"/>
    <mergeCell ref="F14:F16"/>
    <mergeCell ref="A22:B22"/>
    <mergeCell ref="A21:B21"/>
    <mergeCell ref="F17:F20"/>
  </mergeCells>
  <phoneticPr fontId="0" type="noConversion"/>
  <conditionalFormatting sqref="A21:E22 F22">
    <cfRule type="expression" dxfId="4" priority="9" stopIfTrue="1">
      <formula>$A$21="Income Tax Refundable (Old Tax Regime)"</formula>
    </cfRule>
    <cfRule type="expression" dxfId="3" priority="10" stopIfTrue="1">
      <formula>$A$21="Income Tax Payable (Old Tax Regime)"</formula>
    </cfRule>
  </conditionalFormatting>
  <conditionalFormatting sqref="DR11:DR22">
    <cfRule type="cellIs" dxfId="2" priority="12" stopIfTrue="1" operator="lessThan">
      <formula>1</formula>
    </cfRule>
  </conditionalFormatting>
  <conditionalFormatting sqref="F21">
    <cfRule type="expression" dxfId="1" priority="1" stopIfTrue="1">
      <formula>$A$21="Income Tax Refundable"</formula>
    </cfRule>
    <cfRule type="expression" dxfId="0" priority="2" stopIfTrue="1">
      <formula>$A$21="Income Tax Payable"</formula>
    </cfRule>
  </conditionalFormatting>
  <dataValidations count="12">
    <dataValidation type="whole" operator="lessThanOrEqual" allowBlank="1" showInputMessage="1" showErrorMessage="1" errorTitle="Sorry...!!! Not Allow" error="HRA Rebate Permissible up to Actual HRA Recieved" sqref="C3:C20" xr:uid="{00000000-0002-0000-0300-000000000000}">
      <formula1>G20</formula1>
    </dataValidation>
    <dataValidation type="whole" allowBlank="1" showInputMessage="1" showErrorMessage="1" errorTitle="ARTICLE 80DDB" sqref="E13" xr:uid="{00000000-0002-0000-0300-000001000000}">
      <formula1>0</formula1>
      <formula2>H13</formula2>
    </dataValidation>
    <dataValidation type="whole" allowBlank="1" showInputMessage="1" showErrorMessage="1" errorTitle="ARTICLE 80D" sqref="E11" xr:uid="{00000000-0002-0000-0300-000002000000}">
      <formula1>0</formula1>
      <formula2>H11</formula2>
    </dataValidation>
    <dataValidation type="whole" allowBlank="1" showInputMessage="1" showErrorMessage="1" errorTitle="80CCD(1B)" error="CHECK THE TOTAL DEDUCTION OF 80C MUST BE EQUAL TO RS. 150000 OR MORE_x000a__x000a_MAX LIMIT UPTO 50000_x000a_" sqref="E10" xr:uid="{00000000-0002-0000-0300-000003000000}">
      <formula1>0</formula1>
      <formula2>J10</formula2>
    </dataValidation>
    <dataValidation type="list" allowBlank="1" showInputMessage="1" showErrorMessage="1" sqref="E3" xr:uid="{00000000-0002-0000-0300-000004000000}">
      <formula1>"0,50000"</formula1>
    </dataValidation>
    <dataValidation type="whole" operator="lessThanOrEqual" allowBlank="1" showInputMessage="1" showErrorMessage="1" errorTitle="Sorry...!!! Not Allow" error="HRA Rebate Permissible up to Actual HRA Recieved" sqref="B3" xr:uid="{00000000-0002-0000-0300-000005000000}">
      <formula1>H21</formula1>
    </dataValidation>
    <dataValidation type="whole" operator="lessThanOrEqual" allowBlank="1" showInputMessage="1" showErrorMessage="1" error="Maximum 2 lakh allowed_x000a_" sqref="B9" xr:uid="{00000000-0002-0000-0300-000006000000}">
      <formula1>200000</formula1>
    </dataValidation>
    <dataValidation type="whole" operator="lessThanOrEqual" allowBlank="1" showInputMessage="1" showErrorMessage="1" error="max 5000 allowed" sqref="B4" xr:uid="{00000000-0002-0000-0300-000007000000}">
      <formula1>5000</formula1>
    </dataValidation>
    <dataValidation type="whole" operator="lessThanOrEqual" allowBlank="1" showInputMessage="1" showErrorMessage="1" sqref="E16" xr:uid="{00000000-0002-0000-0300-000008000000}">
      <formula1>125000</formula1>
    </dataValidation>
    <dataValidation type="whole" allowBlank="1" showInputMessage="1" showErrorMessage="1" errorTitle="ARTICLE 80DD" sqref="E12" xr:uid="{00000000-0002-0000-0300-000009000000}">
      <formula1>0</formula1>
      <formula2>125000</formula2>
    </dataValidation>
    <dataValidation type="whole" operator="greaterThanOrEqual" allowBlank="1" showInputMessage="1" showErrorMessage="1" sqref="B7" xr:uid="{00000000-0002-0000-0300-00000A000000}">
      <formula1>0</formula1>
    </dataValidation>
    <dataValidation type="whole" allowBlank="1" showInputMessage="1" showErrorMessage="1" sqref="E20" xr:uid="{00000000-0002-0000-0300-00000B000000}">
      <formula1>0</formula1>
      <formula2>7200</formula2>
    </dataValidation>
  </dataValidations>
  <pageMargins left="0.51181102362204722" right="0.51181102362204722" top="0.19685039370078741" bottom="0.19685039370078741" header="0" footer="0"/>
  <pageSetup paperSize="9" scale="85" orientation="landscape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66CC"/>
  </sheetPr>
  <dimension ref="A1:R80"/>
  <sheetViews>
    <sheetView showGridLines="0" zoomScale="120" zoomScaleNormal="120" workbookViewId="0">
      <selection activeCell="P21" sqref="P21:Q30"/>
    </sheetView>
  </sheetViews>
  <sheetFormatPr defaultColWidth="0" defaultRowHeight="15.75" zeroHeight="1" x14ac:dyDescent="0.25"/>
  <cols>
    <col min="1" max="1" width="3" customWidth="1"/>
    <col min="2" max="2" width="2.42578125" style="13" customWidth="1"/>
    <col min="3" max="3" width="4.5703125" style="12" customWidth="1"/>
    <col min="4" max="5" width="9.140625" style="12" customWidth="1"/>
    <col min="6" max="6" width="3.85546875" style="12" customWidth="1"/>
    <col min="7" max="7" width="4.140625" style="12" customWidth="1"/>
    <col min="8" max="8" width="2.7109375" style="12" customWidth="1"/>
    <col min="9" max="9" width="10.5703125" style="12" customWidth="1"/>
    <col min="10" max="10" width="5.140625" style="12" customWidth="1"/>
    <col min="11" max="11" width="12.140625" style="12" customWidth="1"/>
    <col min="12" max="12" width="12.28515625" style="12" customWidth="1"/>
    <col min="13" max="13" width="9.42578125" style="12" customWidth="1"/>
    <col min="14" max="14" width="3.5703125" style="12" customWidth="1"/>
    <col min="15" max="15" width="13" style="12" customWidth="1"/>
    <col min="16" max="16" width="2.7109375" style="14" bestFit="1" customWidth="1"/>
    <col min="17" max="17" width="14" style="15" customWidth="1"/>
    <col min="18" max="18" width="3.85546875" customWidth="1"/>
    <col min="19" max="16384" width="9.140625" hidden="1"/>
  </cols>
  <sheetData>
    <row r="1" spans="2:17" s="16" customFormat="1" ht="18.75" x14ac:dyDescent="0.2">
      <c r="B1" s="360" t="str">
        <f>GA55A!C3</f>
        <v>Office of the Principal, Govt. Sr. Secondary School Todaraisingh (Tonk)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56" t="s">
        <v>234</v>
      </c>
      <c r="P1" s="356"/>
      <c r="Q1" s="357"/>
    </row>
    <row r="2" spans="2:17" s="16" customFormat="1" ht="21" thickBot="1" x14ac:dyDescent="0.25">
      <c r="B2" s="354" t="s">
        <v>227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8"/>
      <c r="Q2" s="359"/>
    </row>
    <row r="3" spans="2:17" s="16" customFormat="1" ht="15.6" customHeight="1" x14ac:dyDescent="0.2">
      <c r="B3" s="23">
        <v>1</v>
      </c>
      <c r="C3" s="362" t="s">
        <v>10</v>
      </c>
      <c r="D3" s="363"/>
      <c r="E3" s="341" t="str">
        <f>GA55A!D6</f>
        <v>Chandra Prakash Kurmi</v>
      </c>
      <c r="F3" s="341"/>
      <c r="G3" s="341"/>
      <c r="H3" s="341"/>
      <c r="I3" s="341"/>
      <c r="J3" s="341"/>
      <c r="K3" s="24" t="s">
        <v>31</v>
      </c>
      <c r="L3" s="342" t="str">
        <f>GA55A!K6</f>
        <v>Lecturer (L-13)</v>
      </c>
      <c r="M3" s="342"/>
      <c r="N3" s="342"/>
      <c r="O3" s="25" t="s">
        <v>29</v>
      </c>
      <c r="P3" s="342" t="str">
        <f>IF(GA55A!P6="","",GA55A!P6)</f>
        <v>AAAAAXXXXA</v>
      </c>
      <c r="Q3" s="364"/>
    </row>
    <row r="4" spans="2:17" s="16" customFormat="1" ht="15.6" customHeight="1" x14ac:dyDescent="0.2">
      <c r="B4" s="21">
        <v>2</v>
      </c>
      <c r="C4" s="365" t="s">
        <v>228</v>
      </c>
      <c r="D4" s="365"/>
      <c r="E4" s="289"/>
      <c r="F4" s="289"/>
      <c r="G4" s="289"/>
      <c r="H4" s="289"/>
      <c r="I4" s="289"/>
      <c r="J4" s="289"/>
      <c r="K4" s="365"/>
      <c r="L4" s="289"/>
      <c r="M4" s="289"/>
      <c r="N4" s="289"/>
      <c r="O4" s="365"/>
      <c r="P4" s="118" t="s">
        <v>11</v>
      </c>
      <c r="Q4" s="149">
        <f>IF(Master!B11="No",GA55A!N30,(GA55A!N30+GA55A!O30))</f>
        <v>1223948</v>
      </c>
    </row>
    <row r="5" spans="2:17" s="16" customFormat="1" ht="15.6" customHeight="1" x14ac:dyDescent="0.2">
      <c r="B5" s="21">
        <v>3</v>
      </c>
      <c r="C5" s="289" t="s">
        <v>104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118" t="s">
        <v>11</v>
      </c>
      <c r="Q5" s="150">
        <f>'Other Deduction'!B3+'Other Deduction'!E20</f>
        <v>0</v>
      </c>
    </row>
    <row r="6" spans="2:17" s="16" customFormat="1" ht="15.6" customHeight="1" x14ac:dyDescent="0.2">
      <c r="B6" s="21">
        <v>4</v>
      </c>
      <c r="C6" s="366" t="s">
        <v>32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118" t="s">
        <v>11</v>
      </c>
      <c r="Q6" s="150">
        <f>Q4-Q5</f>
        <v>1223948</v>
      </c>
    </row>
    <row r="7" spans="2:17" s="16" customFormat="1" ht="15.6" customHeight="1" x14ac:dyDescent="0.2">
      <c r="B7" s="305">
        <v>5</v>
      </c>
      <c r="C7" s="312" t="s">
        <v>160</v>
      </c>
      <c r="D7" s="313"/>
      <c r="E7" s="313"/>
      <c r="F7" s="313"/>
      <c r="G7" s="313"/>
      <c r="H7" s="313"/>
      <c r="I7" s="313"/>
      <c r="J7" s="313"/>
      <c r="K7" s="313"/>
      <c r="L7" s="313"/>
      <c r="M7" s="302">
        <f>IF('Other Deduction'!E3=0,0,(IF(AND(Q6&gt;50000,'Other Deduction'!E3=50000),50000,Q6)))</f>
        <v>50000</v>
      </c>
      <c r="N7" s="302"/>
      <c r="O7" s="302"/>
      <c r="P7" s="335"/>
      <c r="Q7" s="349"/>
    </row>
    <row r="8" spans="2:17" s="16" customFormat="1" ht="15.6" customHeight="1" x14ac:dyDescent="0.2">
      <c r="B8" s="306"/>
      <c r="C8" s="312" t="s">
        <v>161</v>
      </c>
      <c r="D8" s="313"/>
      <c r="E8" s="313"/>
      <c r="F8" s="313"/>
      <c r="G8" s="313"/>
      <c r="H8" s="313"/>
      <c r="I8" s="313"/>
      <c r="J8" s="313"/>
      <c r="K8" s="313"/>
      <c r="L8" s="313"/>
      <c r="M8" s="302">
        <f>'Other Deduction'!B4</f>
        <v>0</v>
      </c>
      <c r="N8" s="302"/>
      <c r="O8" s="302"/>
      <c r="P8" s="350"/>
      <c r="Q8" s="351"/>
    </row>
    <row r="9" spans="2:17" s="16" customFormat="1" ht="15.6" customHeight="1" x14ac:dyDescent="0.2">
      <c r="B9" s="306"/>
      <c r="C9" s="312" t="s">
        <v>185</v>
      </c>
      <c r="D9" s="313"/>
      <c r="E9" s="313"/>
      <c r="F9" s="313"/>
      <c r="G9" s="313"/>
      <c r="H9" s="313"/>
      <c r="I9" s="313"/>
      <c r="J9" s="313"/>
      <c r="K9" s="313"/>
      <c r="L9" s="313"/>
      <c r="M9" s="302">
        <f>'Other Deduction'!B5</f>
        <v>0</v>
      </c>
      <c r="N9" s="302"/>
      <c r="O9" s="302"/>
      <c r="P9" s="352"/>
      <c r="Q9" s="353"/>
    </row>
    <row r="10" spans="2:17" s="16" customFormat="1" ht="15.6" customHeight="1" x14ac:dyDescent="0.2">
      <c r="B10" s="307"/>
      <c r="C10" s="329" t="s">
        <v>162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1"/>
      <c r="P10" s="118" t="s">
        <v>11</v>
      </c>
      <c r="Q10" s="150">
        <f>SUM(M7:O9)</f>
        <v>50000</v>
      </c>
    </row>
    <row r="11" spans="2:17" s="16" customFormat="1" ht="15.6" customHeight="1" x14ac:dyDescent="0.2">
      <c r="B11" s="21">
        <v>6</v>
      </c>
      <c r="C11" s="329" t="s">
        <v>12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1"/>
      <c r="P11" s="118" t="s">
        <v>11</v>
      </c>
      <c r="Q11" s="149">
        <f>Q6-Q10</f>
        <v>1173948</v>
      </c>
    </row>
    <row r="12" spans="2:17" s="16" customFormat="1" ht="15.6" customHeight="1" x14ac:dyDescent="0.2">
      <c r="B12" s="288">
        <v>7</v>
      </c>
      <c r="C12" s="289" t="s">
        <v>33</v>
      </c>
      <c r="D12" s="289"/>
      <c r="E12" s="289"/>
      <c r="F12" s="289"/>
      <c r="G12" s="289"/>
      <c r="H12" s="289"/>
      <c r="I12" s="289"/>
      <c r="J12" s="289"/>
      <c r="K12" s="290" t="s">
        <v>34</v>
      </c>
      <c r="L12" s="290"/>
      <c r="M12" s="302">
        <f>'Other Deduction'!B6</f>
        <v>0</v>
      </c>
      <c r="N12" s="302"/>
      <c r="O12" s="302"/>
      <c r="P12" s="343"/>
      <c r="Q12" s="344"/>
    </row>
    <row r="13" spans="2:17" s="16" customFormat="1" ht="15.6" customHeight="1" x14ac:dyDescent="0.2">
      <c r="B13" s="288"/>
      <c r="C13" s="297" t="s">
        <v>35</v>
      </c>
      <c r="D13" s="298"/>
      <c r="E13" s="294" t="s">
        <v>77</v>
      </c>
      <c r="F13" s="295"/>
      <c r="G13" s="296"/>
      <c r="H13" s="345" t="s">
        <v>13</v>
      </c>
      <c r="I13" s="345"/>
      <c r="J13" s="345"/>
      <c r="K13" s="290" t="s">
        <v>36</v>
      </c>
      <c r="L13" s="290"/>
      <c r="M13" s="290" t="s">
        <v>63</v>
      </c>
      <c r="N13" s="290"/>
      <c r="O13" s="290"/>
      <c r="P13" s="343"/>
      <c r="Q13" s="344"/>
    </row>
    <row r="14" spans="2:17" s="16" customFormat="1" ht="15.6" customHeight="1" x14ac:dyDescent="0.2">
      <c r="B14" s="288"/>
      <c r="C14" s="299"/>
      <c r="D14" s="300"/>
      <c r="E14" s="291">
        <f>ROUND(M12*0.3,0)</f>
        <v>0</v>
      </c>
      <c r="F14" s="292"/>
      <c r="G14" s="293"/>
      <c r="H14" s="302">
        <f>IF('Other Deduction'!B9&gt;200000,200000,'Other Deduction'!B9)</f>
        <v>0</v>
      </c>
      <c r="I14" s="302"/>
      <c r="J14" s="302"/>
      <c r="K14" s="302">
        <f>'Other Deduction'!B7</f>
        <v>0</v>
      </c>
      <c r="L14" s="302"/>
      <c r="M14" s="302">
        <f>E14+H14+K14</f>
        <v>0</v>
      </c>
      <c r="N14" s="302"/>
      <c r="O14" s="302"/>
      <c r="P14" s="343"/>
      <c r="Q14" s="344"/>
    </row>
    <row r="15" spans="2:17" s="16" customFormat="1" ht="15.6" customHeight="1" x14ac:dyDescent="0.2">
      <c r="B15" s="21"/>
      <c r="C15" s="346" t="s">
        <v>37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8"/>
      <c r="P15" s="118" t="s">
        <v>11</v>
      </c>
      <c r="Q15" s="150">
        <f>M12-M14</f>
        <v>0</v>
      </c>
    </row>
    <row r="16" spans="2:17" s="16" customFormat="1" ht="15.6" customHeight="1" x14ac:dyDescent="0.2">
      <c r="B16" s="21">
        <v>8</v>
      </c>
      <c r="C16" s="329" t="s">
        <v>64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1"/>
      <c r="P16" s="118" t="s">
        <v>11</v>
      </c>
      <c r="Q16" s="150">
        <f>Q11+Q15</f>
        <v>1173948</v>
      </c>
    </row>
    <row r="17" spans="2:17" s="16" customFormat="1" ht="15.6" customHeight="1" x14ac:dyDescent="0.2">
      <c r="B17" s="21">
        <v>9</v>
      </c>
      <c r="C17" s="289" t="s">
        <v>28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118" t="s">
        <v>11</v>
      </c>
      <c r="Q17" s="150">
        <f>'Other Deduction'!I6</f>
        <v>0</v>
      </c>
    </row>
    <row r="18" spans="2:17" s="16" customFormat="1" ht="15.6" customHeight="1" x14ac:dyDescent="0.2">
      <c r="B18" s="21">
        <v>10</v>
      </c>
      <c r="C18" s="304" t="s">
        <v>163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118" t="s">
        <v>11</v>
      </c>
      <c r="Q18" s="149">
        <f>Q16+Q17</f>
        <v>1173948</v>
      </c>
    </row>
    <row r="19" spans="2:17" s="16" customFormat="1" ht="15.6" customHeight="1" x14ac:dyDescent="0.2">
      <c r="B19" s="305">
        <v>11</v>
      </c>
      <c r="C19" s="304" t="s">
        <v>186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32"/>
    </row>
    <row r="20" spans="2:17" s="16" customFormat="1" ht="15.6" customHeight="1" x14ac:dyDescent="0.2">
      <c r="B20" s="306"/>
      <c r="C20" s="333" t="s">
        <v>187</v>
      </c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4"/>
    </row>
    <row r="21" spans="2:17" s="16" customFormat="1" ht="15.6" customHeight="1" x14ac:dyDescent="0.2">
      <c r="B21" s="306"/>
      <c r="C21" s="6" t="s">
        <v>38</v>
      </c>
      <c r="D21" s="289" t="s">
        <v>69</v>
      </c>
      <c r="E21" s="289"/>
      <c r="F21" s="289"/>
      <c r="G21" s="289"/>
      <c r="H21" s="118" t="s">
        <v>11</v>
      </c>
      <c r="I21" s="76">
        <f>GA55A!Q30+GA55A!R30</f>
        <v>84000</v>
      </c>
      <c r="J21" s="325" t="s">
        <v>41</v>
      </c>
      <c r="K21" s="319" t="s">
        <v>233</v>
      </c>
      <c r="L21" s="320"/>
      <c r="M21" s="321"/>
      <c r="N21" s="339" t="s">
        <v>11</v>
      </c>
      <c r="O21" s="327">
        <f>IF(Master!B11="Yes",'Other Deduction'!E9,0)</f>
        <v>104928</v>
      </c>
      <c r="P21" s="335"/>
      <c r="Q21" s="336"/>
    </row>
    <row r="22" spans="2:17" s="16" customFormat="1" ht="15.6" customHeight="1" x14ac:dyDescent="0.2">
      <c r="B22" s="306"/>
      <c r="C22" s="6" t="s">
        <v>40</v>
      </c>
      <c r="D22" s="312" t="s">
        <v>70</v>
      </c>
      <c r="E22" s="313"/>
      <c r="F22" s="313"/>
      <c r="G22" s="314"/>
      <c r="H22" s="118" t="s">
        <v>11</v>
      </c>
      <c r="I22" s="76">
        <f>'Other Deduction'!B10+GA55A!U30</f>
        <v>24000</v>
      </c>
      <c r="J22" s="326"/>
      <c r="K22" s="322"/>
      <c r="L22" s="323"/>
      <c r="M22" s="324"/>
      <c r="N22" s="340"/>
      <c r="O22" s="328"/>
      <c r="P22" s="337"/>
      <c r="Q22" s="338"/>
    </row>
    <row r="23" spans="2:17" s="16" customFormat="1" ht="15.6" customHeight="1" x14ac:dyDescent="0.2">
      <c r="B23" s="306"/>
      <c r="C23" s="6" t="s">
        <v>42</v>
      </c>
      <c r="D23" s="312" t="s">
        <v>71</v>
      </c>
      <c r="E23" s="313"/>
      <c r="F23" s="313"/>
      <c r="G23" s="314"/>
      <c r="H23" s="118" t="s">
        <v>11</v>
      </c>
      <c r="I23" s="76">
        <f>'Other Deduction'!B14</f>
        <v>0</v>
      </c>
      <c r="J23" s="6" t="s">
        <v>43</v>
      </c>
      <c r="K23" s="311" t="s">
        <v>154</v>
      </c>
      <c r="L23" s="311"/>
      <c r="M23" s="311"/>
      <c r="N23" s="118" t="s">
        <v>11</v>
      </c>
      <c r="O23" s="76">
        <f>'Other Deduction'!E8</f>
        <v>0</v>
      </c>
      <c r="P23" s="337"/>
      <c r="Q23" s="338"/>
    </row>
    <row r="24" spans="2:17" s="16" customFormat="1" ht="15.6" customHeight="1" x14ac:dyDescent="0.2">
      <c r="B24" s="306"/>
      <c r="C24" s="6" t="s">
        <v>44</v>
      </c>
      <c r="D24" s="312" t="s">
        <v>72</v>
      </c>
      <c r="E24" s="313"/>
      <c r="F24" s="313"/>
      <c r="G24" s="314"/>
      <c r="H24" s="118" t="s">
        <v>11</v>
      </c>
      <c r="I24" s="76">
        <f>'Other Deduction'!B16</f>
        <v>0</v>
      </c>
      <c r="J24" s="6" t="s">
        <v>45</v>
      </c>
      <c r="K24" s="311" t="s">
        <v>17</v>
      </c>
      <c r="L24" s="311"/>
      <c r="M24" s="311"/>
      <c r="N24" s="118" t="s">
        <v>11</v>
      </c>
      <c r="O24" s="77">
        <f>'Other Deduction'!B15</f>
        <v>0</v>
      </c>
      <c r="P24" s="337"/>
      <c r="Q24" s="338"/>
    </row>
    <row r="25" spans="2:17" s="16" customFormat="1" ht="15.6" customHeight="1" x14ac:dyDescent="0.2">
      <c r="B25" s="306"/>
      <c r="C25" s="6" t="s">
        <v>46</v>
      </c>
      <c r="D25" s="312" t="s">
        <v>73</v>
      </c>
      <c r="E25" s="313"/>
      <c r="F25" s="313"/>
      <c r="G25" s="314"/>
      <c r="H25" s="118" t="s">
        <v>11</v>
      </c>
      <c r="I25" s="76">
        <f>'Other Deduction'!B17</f>
        <v>0</v>
      </c>
      <c r="J25" s="6" t="s">
        <v>47</v>
      </c>
      <c r="K25" s="311" t="s">
        <v>94</v>
      </c>
      <c r="L25" s="311"/>
      <c r="M25" s="311"/>
      <c r="N25" s="118" t="s">
        <v>11</v>
      </c>
      <c r="O25" s="77">
        <f>'Other Deduction'!B12</f>
        <v>0</v>
      </c>
      <c r="P25" s="337"/>
      <c r="Q25" s="338"/>
    </row>
    <row r="26" spans="2:17" s="16" customFormat="1" ht="15.6" customHeight="1" x14ac:dyDescent="0.2">
      <c r="B26" s="306"/>
      <c r="C26" s="6" t="s">
        <v>48</v>
      </c>
      <c r="D26" s="312" t="s">
        <v>74</v>
      </c>
      <c r="E26" s="313"/>
      <c r="F26" s="313"/>
      <c r="G26" s="314"/>
      <c r="H26" s="118" t="s">
        <v>11</v>
      </c>
      <c r="I26" s="76">
        <f>IF(Master!B11="No",GA55A!O30,0)</f>
        <v>0</v>
      </c>
      <c r="J26" s="6" t="s">
        <v>49</v>
      </c>
      <c r="K26" s="311" t="s">
        <v>97</v>
      </c>
      <c r="L26" s="311"/>
      <c r="M26" s="311"/>
      <c r="N26" s="118" t="s">
        <v>11</v>
      </c>
      <c r="O26" s="76">
        <f>'Other Deduction'!B19</f>
        <v>0</v>
      </c>
      <c r="P26" s="337"/>
      <c r="Q26" s="338"/>
    </row>
    <row r="27" spans="2:17" s="16" customFormat="1" ht="15.6" customHeight="1" x14ac:dyDescent="0.2">
      <c r="B27" s="306"/>
      <c r="C27" s="6" t="s">
        <v>50</v>
      </c>
      <c r="D27" s="312" t="s">
        <v>100</v>
      </c>
      <c r="E27" s="313"/>
      <c r="F27" s="313"/>
      <c r="G27" s="314"/>
      <c r="H27" s="118" t="s">
        <v>11</v>
      </c>
      <c r="I27" s="77">
        <f>GA55A!V30</f>
        <v>220</v>
      </c>
      <c r="J27" s="6" t="s">
        <v>51</v>
      </c>
      <c r="K27" s="311" t="s">
        <v>96</v>
      </c>
      <c r="L27" s="311"/>
      <c r="M27" s="311"/>
      <c r="N27" s="118" t="s">
        <v>11</v>
      </c>
      <c r="O27" s="76">
        <f>'Other Deduction'!B20</f>
        <v>0</v>
      </c>
      <c r="P27" s="337"/>
      <c r="Q27" s="338"/>
    </row>
    <row r="28" spans="2:17" s="16" customFormat="1" ht="15.6" customHeight="1" x14ac:dyDescent="0.2">
      <c r="B28" s="306"/>
      <c r="C28" s="6" t="s">
        <v>52</v>
      </c>
      <c r="D28" s="312" t="s">
        <v>9</v>
      </c>
      <c r="E28" s="313"/>
      <c r="F28" s="313"/>
      <c r="G28" s="314"/>
      <c r="H28" s="118" t="s">
        <v>11</v>
      </c>
      <c r="I28" s="77">
        <f>'Other Deduction'!B13</f>
        <v>0</v>
      </c>
      <c r="J28" s="6" t="s">
        <v>53</v>
      </c>
      <c r="K28" s="303" t="s">
        <v>95</v>
      </c>
      <c r="L28" s="303"/>
      <c r="M28" s="303"/>
      <c r="N28" s="118" t="s">
        <v>11</v>
      </c>
      <c r="O28" s="76">
        <f>'Other Deduction'!B11</f>
        <v>0</v>
      </c>
      <c r="P28" s="337"/>
      <c r="Q28" s="338"/>
    </row>
    <row r="29" spans="2:17" s="16" customFormat="1" ht="15.6" customHeight="1" x14ac:dyDescent="0.2">
      <c r="B29" s="306"/>
      <c r="C29" s="6" t="s">
        <v>54</v>
      </c>
      <c r="D29" s="289" t="s">
        <v>78</v>
      </c>
      <c r="E29" s="289"/>
      <c r="F29" s="289"/>
      <c r="G29" s="289"/>
      <c r="H29" s="118" t="s">
        <v>11</v>
      </c>
      <c r="I29" s="76">
        <f>'Other Deduction'!B8</f>
        <v>0</v>
      </c>
      <c r="J29" s="6" t="s">
        <v>140</v>
      </c>
      <c r="K29" s="303" t="s">
        <v>166</v>
      </c>
      <c r="L29" s="303"/>
      <c r="M29" s="303"/>
      <c r="N29" s="118" t="s">
        <v>11</v>
      </c>
      <c r="O29" s="76">
        <f>'Other Deduction'!E7</f>
        <v>0</v>
      </c>
      <c r="P29" s="337"/>
      <c r="Q29" s="338"/>
    </row>
    <row r="30" spans="2:17" s="16" customFormat="1" ht="15.6" customHeight="1" x14ac:dyDescent="0.2">
      <c r="B30" s="306"/>
      <c r="C30" s="6" t="s">
        <v>39</v>
      </c>
      <c r="D30" s="289" t="s">
        <v>141</v>
      </c>
      <c r="E30" s="289"/>
      <c r="F30" s="289"/>
      <c r="G30" s="289"/>
      <c r="H30" s="118" t="s">
        <v>11</v>
      </c>
      <c r="I30" s="76">
        <f>'Other Deduction'!B18</f>
        <v>0</v>
      </c>
      <c r="J30" s="6" t="s">
        <v>155</v>
      </c>
      <c r="K30" s="308" t="s">
        <v>159</v>
      </c>
      <c r="L30" s="309"/>
      <c r="M30" s="310"/>
      <c r="N30" s="66" t="s">
        <v>11</v>
      </c>
      <c r="O30" s="65">
        <f>SUM(I21:I30)+SUM(O21:O29)</f>
        <v>213148</v>
      </c>
      <c r="P30" s="337"/>
      <c r="Q30" s="338"/>
    </row>
    <row r="31" spans="2:17" s="16" customFormat="1" ht="15.6" customHeight="1" x14ac:dyDescent="0.2">
      <c r="B31" s="306"/>
      <c r="C31" s="318" t="s">
        <v>93</v>
      </c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118" t="s">
        <v>11</v>
      </c>
      <c r="Q31" s="149">
        <f>IF(O30&lt;150001,ROUND(O30,0),150000)</f>
        <v>150000</v>
      </c>
    </row>
    <row r="32" spans="2:17" s="16" customFormat="1" ht="15.6" customHeight="1" x14ac:dyDescent="0.2">
      <c r="B32" s="306"/>
      <c r="C32" s="315" t="s">
        <v>107</v>
      </c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7"/>
      <c r="P32" s="118"/>
      <c r="Q32" s="151">
        <f>'Other Deduction'!H9</f>
        <v>104928</v>
      </c>
    </row>
    <row r="33" spans="2:17" s="16" customFormat="1" ht="15.6" customHeight="1" x14ac:dyDescent="0.2">
      <c r="B33" s="306"/>
      <c r="C33" s="405" t="s">
        <v>106</v>
      </c>
      <c r="D33" s="406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7"/>
      <c r="P33" s="118" t="s">
        <v>11</v>
      </c>
      <c r="Q33" s="150">
        <f>IF('Other Deduction'!E10&gt;=50000,50000,'Other Deduction'!E10)</f>
        <v>0</v>
      </c>
    </row>
    <row r="34" spans="2:17" s="16" customFormat="1" ht="15.6" customHeight="1" x14ac:dyDescent="0.25">
      <c r="B34" s="307"/>
      <c r="C34" s="408" t="s">
        <v>184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10"/>
      <c r="P34" s="118" t="s">
        <v>11</v>
      </c>
      <c r="Q34" s="149">
        <f>SUM(Q31:Q33)</f>
        <v>254928</v>
      </c>
    </row>
    <row r="35" spans="2:17" s="16" customFormat="1" ht="15.6" customHeight="1" x14ac:dyDescent="0.2">
      <c r="B35" s="305">
        <v>12</v>
      </c>
      <c r="C35" s="304" t="s">
        <v>105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32"/>
    </row>
    <row r="36" spans="2:17" s="16" customFormat="1" ht="15.6" customHeight="1" x14ac:dyDescent="0.2">
      <c r="B36" s="306"/>
      <c r="C36" s="401" t="s">
        <v>148</v>
      </c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3"/>
      <c r="P36" s="118" t="s">
        <v>11</v>
      </c>
      <c r="Q36" s="150">
        <f>'Other Deduction'!E11</f>
        <v>0</v>
      </c>
    </row>
    <row r="37" spans="2:17" s="16" customFormat="1" ht="15.6" customHeight="1" x14ac:dyDescent="0.2">
      <c r="B37" s="306"/>
      <c r="C37" s="289" t="s">
        <v>149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118" t="s">
        <v>11</v>
      </c>
      <c r="Q37" s="150">
        <f>'Other Deduction'!E12</f>
        <v>0</v>
      </c>
    </row>
    <row r="38" spans="2:17" s="16" customFormat="1" ht="15.6" customHeight="1" x14ac:dyDescent="0.2">
      <c r="B38" s="306"/>
      <c r="C38" s="289" t="s">
        <v>150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118" t="s">
        <v>11</v>
      </c>
      <c r="Q38" s="150">
        <f>'Other Deduction'!E13</f>
        <v>0</v>
      </c>
    </row>
    <row r="39" spans="2:17" s="16" customFormat="1" ht="15.6" customHeight="1" x14ac:dyDescent="0.2">
      <c r="B39" s="306"/>
      <c r="C39" s="289" t="s">
        <v>120</v>
      </c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118" t="s">
        <v>11</v>
      </c>
      <c r="Q39" s="150">
        <f>'Other Deduction'!E14</f>
        <v>0</v>
      </c>
    </row>
    <row r="40" spans="2:17" s="16" customFormat="1" ht="15.6" customHeight="1" x14ac:dyDescent="0.2">
      <c r="B40" s="306"/>
      <c r="C40" s="289" t="s">
        <v>121</v>
      </c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118" t="s">
        <v>11</v>
      </c>
      <c r="Q40" s="150">
        <f>'Other Deduction'!E15</f>
        <v>23536</v>
      </c>
    </row>
    <row r="41" spans="2:17" s="16" customFormat="1" ht="15.6" customHeight="1" x14ac:dyDescent="0.2">
      <c r="B41" s="306"/>
      <c r="C41" s="401" t="s">
        <v>122</v>
      </c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3"/>
      <c r="P41" s="118" t="s">
        <v>11</v>
      </c>
      <c r="Q41" s="150">
        <f>'Other Deduction'!E16</f>
        <v>0</v>
      </c>
    </row>
    <row r="42" spans="2:17" s="16" customFormat="1" ht="15.6" customHeight="1" x14ac:dyDescent="0.2">
      <c r="B42" s="306"/>
      <c r="C42" s="312" t="s">
        <v>157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4"/>
      <c r="P42" s="118"/>
      <c r="Q42" s="150">
        <f>IF(Master!B14="Yes",0,IF('Other Deduction'!E4&gt;10000,10000,'Other Deduction'!E4))</f>
        <v>0</v>
      </c>
    </row>
    <row r="43" spans="2:17" s="16" customFormat="1" ht="15.6" customHeight="1" x14ac:dyDescent="0.2">
      <c r="B43" s="306"/>
      <c r="C43" s="312" t="s">
        <v>158</v>
      </c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4"/>
      <c r="P43" s="118" t="s">
        <v>11</v>
      </c>
      <c r="Q43" s="150">
        <f>IF(Master!B14="No",0,IF('Other Deduction'!I5&lt;50001,'Other Deduction'!I5,50000))</f>
        <v>0</v>
      </c>
    </row>
    <row r="44" spans="2:17" s="16" customFormat="1" ht="15.6" customHeight="1" x14ac:dyDescent="0.2">
      <c r="B44" s="306"/>
      <c r="C44" s="312" t="s">
        <v>156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4"/>
      <c r="P44" s="118" t="s">
        <v>11</v>
      </c>
      <c r="Q44" s="150">
        <f>'Other Deduction'!E17</f>
        <v>0</v>
      </c>
    </row>
    <row r="45" spans="2:17" s="16" customFormat="1" ht="15.6" customHeight="1" x14ac:dyDescent="0.2">
      <c r="B45" s="307"/>
      <c r="C45" s="404" t="s">
        <v>245</v>
      </c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118" t="s">
        <v>11</v>
      </c>
      <c r="Q45" s="153">
        <f>SUM(Q36:Q44)</f>
        <v>23536</v>
      </c>
    </row>
    <row r="46" spans="2:17" s="16" customFormat="1" ht="15.6" customHeight="1" x14ac:dyDescent="0.2">
      <c r="B46" s="21">
        <v>13</v>
      </c>
      <c r="C46" s="304" t="s">
        <v>103</v>
      </c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118" t="s">
        <v>11</v>
      </c>
      <c r="Q46" s="150">
        <f>Q34+Q45</f>
        <v>278464</v>
      </c>
    </row>
    <row r="47" spans="2:17" s="16" customFormat="1" ht="15.6" customHeight="1" x14ac:dyDescent="0.2">
      <c r="B47" s="21">
        <v>14</v>
      </c>
      <c r="C47" s="289" t="s">
        <v>65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118" t="s">
        <v>11</v>
      </c>
      <c r="Q47" s="150">
        <f>(Q18-Q46)</f>
        <v>895484</v>
      </c>
    </row>
    <row r="48" spans="2:17" s="16" customFormat="1" ht="15.6" customHeight="1" x14ac:dyDescent="0.2">
      <c r="B48" s="21">
        <v>15</v>
      </c>
      <c r="C48" s="304" t="s">
        <v>144</v>
      </c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118" t="s">
        <v>11</v>
      </c>
      <c r="Q48" s="149">
        <f>ROUND(Q47,-1)</f>
        <v>895480</v>
      </c>
    </row>
    <row r="49" spans="2:17" s="16" customFormat="1" ht="15.6" customHeight="1" x14ac:dyDescent="0.2">
      <c r="B49" s="305">
        <v>16</v>
      </c>
      <c r="C49" s="289" t="s">
        <v>55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389"/>
    </row>
    <row r="50" spans="2:17" s="16" customFormat="1" ht="15.6" customHeight="1" x14ac:dyDescent="0.2">
      <c r="B50" s="306"/>
      <c r="C50" s="390" t="s">
        <v>75</v>
      </c>
      <c r="D50" s="390"/>
      <c r="E50" s="390"/>
      <c r="F50" s="390"/>
      <c r="G50" s="390"/>
      <c r="H50" s="390" t="s">
        <v>88</v>
      </c>
      <c r="I50" s="390"/>
      <c r="J50" s="390"/>
      <c r="K50" s="390"/>
      <c r="L50" s="391" t="s">
        <v>101</v>
      </c>
      <c r="M50" s="392"/>
      <c r="N50" s="392"/>
      <c r="O50" s="393"/>
      <c r="P50" s="7"/>
      <c r="Q50" s="22"/>
    </row>
    <row r="51" spans="2:17" s="16" customFormat="1" ht="15.6" customHeight="1" x14ac:dyDescent="0.2">
      <c r="B51" s="306"/>
      <c r="C51" s="369" t="s">
        <v>189</v>
      </c>
      <c r="D51" s="370"/>
      <c r="E51" s="371"/>
      <c r="F51" s="368" t="s">
        <v>56</v>
      </c>
      <c r="G51" s="368"/>
      <c r="H51" s="369" t="s">
        <v>190</v>
      </c>
      <c r="I51" s="370"/>
      <c r="J51" s="371"/>
      <c r="K51" s="116" t="s">
        <v>56</v>
      </c>
      <c r="L51" s="369"/>
      <c r="M51" s="370"/>
      <c r="N51" s="371"/>
      <c r="O51" s="116"/>
      <c r="P51" s="118" t="s">
        <v>11</v>
      </c>
      <c r="Q51" s="152">
        <v>0</v>
      </c>
    </row>
    <row r="52" spans="2:17" s="16" customFormat="1" ht="15.6" customHeight="1" x14ac:dyDescent="0.2">
      <c r="B52" s="306"/>
      <c r="C52" s="369" t="s">
        <v>57</v>
      </c>
      <c r="D52" s="370"/>
      <c r="E52" s="371"/>
      <c r="F52" s="367">
        <v>0.05</v>
      </c>
      <c r="G52" s="368"/>
      <c r="H52" s="368" t="s">
        <v>89</v>
      </c>
      <c r="I52" s="368"/>
      <c r="J52" s="368"/>
      <c r="K52" s="115">
        <v>0.05</v>
      </c>
      <c r="L52" s="369" t="s">
        <v>191</v>
      </c>
      <c r="M52" s="370"/>
      <c r="N52" s="371"/>
      <c r="O52" s="116" t="s">
        <v>56</v>
      </c>
      <c r="P52" s="118" t="s">
        <v>11</v>
      </c>
      <c r="Q52" s="152">
        <f>ROUND(IF(Master!$B$14="NO",IF(Q48&lt;250001,0,IF(Q48&gt;500000,12500,((Q48-250000)*0.05))),IF(Q48&lt;300001,0,IF(Q48&gt;500000,10000,((Q48-300000)*0.05)))),0)</f>
        <v>12500</v>
      </c>
    </row>
    <row r="53" spans="2:17" s="16" customFormat="1" ht="15.6" customHeight="1" x14ac:dyDescent="0.2">
      <c r="B53" s="306"/>
      <c r="C53" s="369" t="s">
        <v>58</v>
      </c>
      <c r="D53" s="370"/>
      <c r="E53" s="371"/>
      <c r="F53" s="367">
        <v>0.2</v>
      </c>
      <c r="G53" s="368"/>
      <c r="H53" s="368" t="s">
        <v>58</v>
      </c>
      <c r="I53" s="368"/>
      <c r="J53" s="368"/>
      <c r="K53" s="115">
        <v>0.2</v>
      </c>
      <c r="L53" s="369" t="s">
        <v>58</v>
      </c>
      <c r="M53" s="370"/>
      <c r="N53" s="371"/>
      <c r="O53" s="115">
        <v>0.2</v>
      </c>
      <c r="P53" s="118" t="s">
        <v>11</v>
      </c>
      <c r="Q53" s="152">
        <f>IF(Q48&lt;500001,0,IF(Q48&gt;1000000,100000,((Q48-500000)*0.2)))</f>
        <v>79096</v>
      </c>
    </row>
    <row r="54" spans="2:17" s="16" customFormat="1" ht="15.6" customHeight="1" x14ac:dyDescent="0.2">
      <c r="B54" s="306"/>
      <c r="C54" s="394" t="s">
        <v>192</v>
      </c>
      <c r="D54" s="395"/>
      <c r="E54" s="396"/>
      <c r="F54" s="367">
        <v>0.3</v>
      </c>
      <c r="G54" s="368"/>
      <c r="H54" s="368" t="s">
        <v>193</v>
      </c>
      <c r="I54" s="368"/>
      <c r="J54" s="368"/>
      <c r="K54" s="115">
        <v>0.3</v>
      </c>
      <c r="L54" s="369" t="s">
        <v>193</v>
      </c>
      <c r="M54" s="370"/>
      <c r="N54" s="371"/>
      <c r="O54" s="115">
        <v>0.3</v>
      </c>
      <c r="P54" s="118" t="s">
        <v>11</v>
      </c>
      <c r="Q54" s="152">
        <f>IF(Q48&lt;1000001,0,((Q48-1000000)*0.3))</f>
        <v>0</v>
      </c>
    </row>
    <row r="55" spans="2:17" s="16" customFormat="1" ht="15.6" customHeight="1" x14ac:dyDescent="0.2">
      <c r="B55" s="306"/>
      <c r="C55" s="384" t="s">
        <v>66</v>
      </c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6"/>
      <c r="P55" s="118" t="s">
        <v>11</v>
      </c>
      <c r="Q55" s="149">
        <f>SUM(Q51:Q54)</f>
        <v>91596</v>
      </c>
    </row>
    <row r="56" spans="2:17" s="16" customFormat="1" ht="15.6" customHeight="1" x14ac:dyDescent="0.2">
      <c r="B56" s="306"/>
      <c r="C56" s="397" t="s">
        <v>153</v>
      </c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398"/>
      <c r="O56" s="399"/>
      <c r="P56" s="118" t="s">
        <v>11</v>
      </c>
      <c r="Q56" s="150">
        <f>IF(Q48&gt;500000,0,IF(Q55&lt;12501,Q55,12500))</f>
        <v>0</v>
      </c>
    </row>
    <row r="57" spans="2:17" s="16" customFormat="1" ht="15.6" customHeight="1" x14ac:dyDescent="0.2">
      <c r="B57" s="306"/>
      <c r="C57" s="384" t="s">
        <v>91</v>
      </c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6"/>
      <c r="P57" s="118" t="s">
        <v>11</v>
      </c>
      <c r="Q57" s="149">
        <f>Q55-Q56</f>
        <v>91596</v>
      </c>
    </row>
    <row r="58" spans="2:17" s="16" customFormat="1" ht="15.6" customHeight="1" x14ac:dyDescent="0.2">
      <c r="B58" s="306"/>
      <c r="C58" s="387" t="s">
        <v>145</v>
      </c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118" t="s">
        <v>11</v>
      </c>
      <c r="Q58" s="150">
        <f>ROUND(Q57*0.04,0)</f>
        <v>3664</v>
      </c>
    </row>
    <row r="59" spans="2:17" s="16" customFormat="1" ht="15.6" customHeight="1" x14ac:dyDescent="0.2">
      <c r="B59" s="307"/>
      <c r="C59" s="388" t="s">
        <v>92</v>
      </c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118" t="s">
        <v>11</v>
      </c>
      <c r="Q59" s="149">
        <f>SUM(Q57:Q58)</f>
        <v>95260</v>
      </c>
    </row>
    <row r="60" spans="2:17" s="16" customFormat="1" ht="15.6" customHeight="1" x14ac:dyDescent="0.2">
      <c r="B60" s="21">
        <v>17</v>
      </c>
      <c r="C60" s="312" t="s">
        <v>67</v>
      </c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4"/>
      <c r="P60" s="118" t="s">
        <v>11</v>
      </c>
      <c r="Q60" s="150">
        <f>'Other Deduction'!E18</f>
        <v>0</v>
      </c>
    </row>
    <row r="61" spans="2:17" s="16" customFormat="1" ht="15.6" customHeight="1" x14ac:dyDescent="0.2">
      <c r="B61" s="21">
        <v>18</v>
      </c>
      <c r="C61" s="304" t="s">
        <v>76</v>
      </c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118" t="s">
        <v>11</v>
      </c>
      <c r="Q61" s="149">
        <f>Q59-Q60</f>
        <v>95260</v>
      </c>
    </row>
    <row r="62" spans="2:17" ht="30" customHeight="1" x14ac:dyDescent="0.2">
      <c r="B62" s="305">
        <v>19</v>
      </c>
      <c r="C62" s="379" t="s">
        <v>59</v>
      </c>
      <c r="D62" s="379"/>
      <c r="E62" s="380"/>
      <c r="F62" s="376" t="s">
        <v>229</v>
      </c>
      <c r="G62" s="376"/>
      <c r="H62" s="376"/>
      <c r="I62" s="376"/>
      <c r="J62" s="377" t="s">
        <v>232</v>
      </c>
      <c r="K62" s="378"/>
      <c r="L62" s="117" t="s">
        <v>230</v>
      </c>
      <c r="M62" s="377" t="s">
        <v>231</v>
      </c>
      <c r="N62" s="378"/>
      <c r="O62" s="117" t="s">
        <v>79</v>
      </c>
      <c r="P62" s="377" t="s">
        <v>152</v>
      </c>
      <c r="Q62" s="400"/>
    </row>
    <row r="63" spans="2:17" ht="15.6" customHeight="1" x14ac:dyDescent="0.2">
      <c r="B63" s="307"/>
      <c r="C63" s="381"/>
      <c r="D63" s="381"/>
      <c r="E63" s="382"/>
      <c r="F63" s="372">
        <f>SUM(GA55A!W9:W15)</f>
        <v>35000</v>
      </c>
      <c r="G63" s="372"/>
      <c r="H63" s="372"/>
      <c r="I63" s="372"/>
      <c r="J63" s="372">
        <f>SUM(GA55A!W16:W18)</f>
        <v>15000</v>
      </c>
      <c r="K63" s="372"/>
      <c r="L63" s="19">
        <f>GA55A!W19</f>
        <v>5000</v>
      </c>
      <c r="M63" s="372">
        <f>GA55A!W20</f>
        <v>5000</v>
      </c>
      <c r="N63" s="372"/>
      <c r="O63" s="50">
        <f>SUM(GA55A!W21:W29)+'Other Deduction'!E19</f>
        <v>9570</v>
      </c>
      <c r="P63" s="118" t="s">
        <v>11</v>
      </c>
      <c r="Q63" s="154">
        <f>F63+J63+L63+M63+O63</f>
        <v>69570</v>
      </c>
    </row>
    <row r="64" spans="2:17" ht="15.6" customHeight="1" thickBot="1" x14ac:dyDescent="0.25">
      <c r="B64" s="373" t="str">
        <f>IF(Q61&gt;Q63,"Income Tax Payable (Old Tax Regime)",IF(Q61&lt;Q63,"Income Tax Refundable (Old Tax Regime)","Income Tax Payble/Refundable (Old Tax Regime)"))</f>
        <v>Income Tax Payable (Old Tax Regime)</v>
      </c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5"/>
      <c r="P64" s="119" t="s">
        <v>11</v>
      </c>
      <c r="Q64" s="155">
        <f>Q61-Q63</f>
        <v>25690</v>
      </c>
    </row>
    <row r="65" spans="1:18" ht="15.6" customHeight="1" x14ac:dyDescent="0.2">
      <c r="B65" s="26"/>
      <c r="C65" s="26"/>
      <c r="D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7"/>
      <c r="Q65" s="28"/>
    </row>
    <row r="66" spans="1:18" x14ac:dyDescent="0.25">
      <c r="B66" s="8"/>
      <c r="C66" s="9"/>
      <c r="D66" s="9"/>
      <c r="E66" s="105" t="s">
        <v>61</v>
      </c>
      <c r="F66" s="9"/>
      <c r="G66" s="9"/>
      <c r="H66" s="9"/>
      <c r="I66" s="9"/>
      <c r="J66" s="9"/>
      <c r="K66" s="9"/>
      <c r="L66" s="9"/>
      <c r="M66" s="9"/>
      <c r="N66" s="9"/>
      <c r="O66" s="105" t="s">
        <v>62</v>
      </c>
      <c r="P66" s="10"/>
      <c r="Q66" s="11"/>
    </row>
    <row r="67" spans="1:18" s="142" customFormat="1" ht="56.25" customHeight="1" x14ac:dyDescent="0.3">
      <c r="A67" s="287" t="s">
        <v>260</v>
      </c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</row>
    <row r="68" spans="1:18" s="51" customFormat="1" ht="15.75" hidden="1" customHeight="1" x14ac:dyDescent="0.25">
      <c r="B68" s="52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</row>
    <row r="69" spans="1:18" s="51" customFormat="1" ht="15.75" hidden="1" customHeight="1" x14ac:dyDescent="0.25">
      <c r="B69" s="53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</row>
    <row r="70" spans="1:18" s="51" customFormat="1" ht="24" hidden="1" customHeight="1" x14ac:dyDescent="0.25">
      <c r="B70" s="52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</row>
    <row r="71" spans="1:18" s="51" customFormat="1" ht="15.75" hidden="1" customHeight="1" x14ac:dyDescent="0.25">
      <c r="B71" s="52"/>
      <c r="C71" s="54"/>
      <c r="D71" s="54"/>
      <c r="E71" s="54"/>
      <c r="F71" s="54"/>
      <c r="G71" s="54"/>
      <c r="H71" s="54"/>
      <c r="I71" s="54"/>
      <c r="J71" s="54"/>
      <c r="K71" s="54"/>
      <c r="L71" s="383"/>
      <c r="M71" s="383"/>
      <c r="N71" s="383"/>
      <c r="O71" s="383"/>
      <c r="P71" s="383"/>
      <c r="Q71" s="383"/>
    </row>
    <row r="72" spans="1:18" s="51" customFormat="1" ht="15.75" hidden="1" customHeight="1" x14ac:dyDescent="0.25">
      <c r="B72" s="52"/>
      <c r="C72" s="54"/>
      <c r="D72" s="54"/>
      <c r="E72" s="54"/>
      <c r="F72" s="54"/>
      <c r="G72" s="54"/>
      <c r="H72" s="54"/>
      <c r="I72" s="54"/>
      <c r="J72" s="54"/>
      <c r="K72" s="54"/>
      <c r="L72" s="383"/>
      <c r="M72" s="383"/>
      <c r="N72" s="383"/>
      <c r="O72" s="383"/>
      <c r="P72" s="383"/>
      <c r="Q72" s="383"/>
    </row>
    <row r="73" spans="1:18" s="51" customFormat="1" ht="15.75" hidden="1" customHeight="1" x14ac:dyDescent="0.25">
      <c r="B73" s="52"/>
      <c r="C73" s="54"/>
      <c r="D73" s="54"/>
      <c r="E73" s="54"/>
      <c r="F73" s="54"/>
      <c r="G73" s="54"/>
      <c r="H73" s="54"/>
      <c r="I73" s="54"/>
      <c r="J73" s="54"/>
      <c r="K73" s="54"/>
      <c r="L73" s="383"/>
      <c r="M73" s="383"/>
      <c r="N73" s="383"/>
      <c r="O73" s="383"/>
      <c r="P73" s="383"/>
      <c r="Q73" s="383"/>
    </row>
    <row r="74" spans="1:18" s="51" customFormat="1" ht="15.75" hidden="1" customHeight="1" x14ac:dyDescent="0.25">
      <c r="B74" s="52"/>
      <c r="C74" s="54"/>
      <c r="D74" s="54"/>
      <c r="E74" s="54"/>
      <c r="F74" s="54"/>
      <c r="G74" s="54"/>
      <c r="H74" s="54"/>
      <c r="I74" s="54"/>
      <c r="J74" s="54"/>
      <c r="K74" s="54"/>
      <c r="L74" s="383"/>
      <c r="M74" s="383"/>
      <c r="N74" s="383"/>
      <c r="O74" s="383"/>
      <c r="P74" s="383"/>
      <c r="Q74" s="383"/>
    </row>
    <row r="75" spans="1:18" s="51" customFormat="1" ht="15.75" hidden="1" customHeight="1" x14ac:dyDescent="0.25">
      <c r="B75" s="52"/>
      <c r="C75" s="54"/>
      <c r="D75" s="54"/>
      <c r="E75" s="54"/>
      <c r="F75" s="54"/>
      <c r="G75" s="54"/>
      <c r="H75" s="54"/>
      <c r="I75" s="54"/>
      <c r="J75" s="54"/>
      <c r="K75" s="54"/>
      <c r="L75" s="383"/>
      <c r="M75" s="383"/>
      <c r="N75" s="383"/>
      <c r="O75" s="383"/>
      <c r="P75" s="383"/>
      <c r="Q75" s="383"/>
    </row>
    <row r="76" spans="1:18" s="51" customFormat="1" hidden="1" x14ac:dyDescent="0.25">
      <c r="B76" s="53"/>
      <c r="C76" s="55"/>
      <c r="D76" s="301"/>
      <c r="E76" s="301"/>
      <c r="F76" s="301"/>
      <c r="G76" s="301"/>
      <c r="H76" s="301"/>
      <c r="I76" s="301"/>
      <c r="J76" s="301"/>
      <c r="K76" s="55"/>
      <c r="L76" s="383"/>
      <c r="M76" s="383"/>
      <c r="N76" s="383"/>
      <c r="O76" s="383"/>
      <c r="P76" s="383"/>
      <c r="Q76" s="383"/>
    </row>
    <row r="77" spans="1:18" s="51" customFormat="1" hidden="1" x14ac:dyDescent="0.25">
      <c r="B77" s="53"/>
      <c r="C77" s="55"/>
      <c r="D77" s="55"/>
      <c r="E77" s="55"/>
      <c r="F77" s="55"/>
      <c r="G77" s="55"/>
      <c r="H77" s="55"/>
      <c r="I77" s="55"/>
      <c r="J77" s="55"/>
      <c r="K77" s="55"/>
      <c r="L77" s="383"/>
      <c r="M77" s="383"/>
      <c r="N77" s="383"/>
      <c r="O77" s="383"/>
      <c r="P77" s="383"/>
      <c r="Q77" s="383"/>
    </row>
    <row r="78" spans="1:18" hidden="1" x14ac:dyDescent="0.25">
      <c r="A78" s="43"/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6"/>
      <c r="Q78" s="47"/>
      <c r="R78" s="43"/>
    </row>
    <row r="79" spans="1:18" hidden="1" x14ac:dyDescent="0.25">
      <c r="A79" s="43"/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6"/>
      <c r="Q79" s="47"/>
      <c r="R79" s="43"/>
    </row>
    <row r="80" spans="1:18" hidden="1" x14ac:dyDescent="0.25">
      <c r="A80" s="43"/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6"/>
      <c r="Q80" s="47"/>
      <c r="R80" s="43"/>
    </row>
  </sheetData>
  <sheetProtection password="CF11" sheet="1" objects="1" scenarios="1" selectLockedCell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24">
    <mergeCell ref="C47:O47"/>
    <mergeCell ref="C48:O48"/>
    <mergeCell ref="F51:G51"/>
    <mergeCell ref="H51:J51"/>
    <mergeCell ref="L51:N51"/>
    <mergeCell ref="D30:G30"/>
    <mergeCell ref="C33:O33"/>
    <mergeCell ref="C34:O34"/>
    <mergeCell ref="C43:O43"/>
    <mergeCell ref="C44:O44"/>
    <mergeCell ref="B35:B45"/>
    <mergeCell ref="C35:Q35"/>
    <mergeCell ref="C36:O36"/>
    <mergeCell ref="C37:O37"/>
    <mergeCell ref="C38:O38"/>
    <mergeCell ref="C39:O39"/>
    <mergeCell ref="C40:O40"/>
    <mergeCell ref="C41:O41"/>
    <mergeCell ref="C45:O45"/>
    <mergeCell ref="C42:O42"/>
    <mergeCell ref="L71:Q77"/>
    <mergeCell ref="C55:O55"/>
    <mergeCell ref="C58:O58"/>
    <mergeCell ref="C59:O59"/>
    <mergeCell ref="B49:B59"/>
    <mergeCell ref="C49:Q49"/>
    <mergeCell ref="C50:G50"/>
    <mergeCell ref="H50:K50"/>
    <mergeCell ref="L50:O50"/>
    <mergeCell ref="C53:E53"/>
    <mergeCell ref="C54:E54"/>
    <mergeCell ref="C51:E51"/>
    <mergeCell ref="C52:E52"/>
    <mergeCell ref="F53:G53"/>
    <mergeCell ref="H53:J53"/>
    <mergeCell ref="L53:N53"/>
    <mergeCell ref="H52:J52"/>
    <mergeCell ref="L52:N52"/>
    <mergeCell ref="C56:O56"/>
    <mergeCell ref="C57:O57"/>
    <mergeCell ref="P62:Q62"/>
    <mergeCell ref="F63:I63"/>
    <mergeCell ref="J63:K63"/>
    <mergeCell ref="F52:G52"/>
    <mergeCell ref="F54:G54"/>
    <mergeCell ref="H54:J54"/>
    <mergeCell ref="L54:N54"/>
    <mergeCell ref="M63:N63"/>
    <mergeCell ref="B64:O64"/>
    <mergeCell ref="C60:O60"/>
    <mergeCell ref="C61:O61"/>
    <mergeCell ref="F62:I62"/>
    <mergeCell ref="J62:K62"/>
    <mergeCell ref="M62:N62"/>
    <mergeCell ref="C62:E63"/>
    <mergeCell ref="B62:B63"/>
    <mergeCell ref="B7:B10"/>
    <mergeCell ref="M9:O9"/>
    <mergeCell ref="C9:L9"/>
    <mergeCell ref="P7:Q9"/>
    <mergeCell ref="C8:L8"/>
    <mergeCell ref="M8:O8"/>
    <mergeCell ref="C10:O10"/>
    <mergeCell ref="B2:N2"/>
    <mergeCell ref="O1:Q2"/>
    <mergeCell ref="B1:N1"/>
    <mergeCell ref="C3:D3"/>
    <mergeCell ref="P3:Q3"/>
    <mergeCell ref="C4:O4"/>
    <mergeCell ref="C5:O5"/>
    <mergeCell ref="C6:O6"/>
    <mergeCell ref="C11:O11"/>
    <mergeCell ref="C7:L7"/>
    <mergeCell ref="M7:O7"/>
    <mergeCell ref="E3:J3"/>
    <mergeCell ref="L3:N3"/>
    <mergeCell ref="P12:Q14"/>
    <mergeCell ref="H13:J13"/>
    <mergeCell ref="K13:L13"/>
    <mergeCell ref="C15:O15"/>
    <mergeCell ref="C17:O17"/>
    <mergeCell ref="C18:O18"/>
    <mergeCell ref="D28:G28"/>
    <mergeCell ref="K28:M28"/>
    <mergeCell ref="M13:O13"/>
    <mergeCell ref="H14:J14"/>
    <mergeCell ref="K14:L14"/>
    <mergeCell ref="M14:O14"/>
    <mergeCell ref="C19:Q19"/>
    <mergeCell ref="C20:Q20"/>
    <mergeCell ref="D21:G21"/>
    <mergeCell ref="D23:G23"/>
    <mergeCell ref="K23:M23"/>
    <mergeCell ref="P21:Q30"/>
    <mergeCell ref="D24:G24"/>
    <mergeCell ref="K24:M24"/>
    <mergeCell ref="D25:G25"/>
    <mergeCell ref="K25:M25"/>
    <mergeCell ref="D26:G26"/>
    <mergeCell ref="N21:N22"/>
    <mergeCell ref="A67:R67"/>
    <mergeCell ref="B12:B14"/>
    <mergeCell ref="C12:J12"/>
    <mergeCell ref="K12:L12"/>
    <mergeCell ref="E14:G14"/>
    <mergeCell ref="E13:G13"/>
    <mergeCell ref="C13:D14"/>
    <mergeCell ref="D76:J76"/>
    <mergeCell ref="M12:O12"/>
    <mergeCell ref="D29:G29"/>
    <mergeCell ref="K29:M29"/>
    <mergeCell ref="C46:O46"/>
    <mergeCell ref="B19:B34"/>
    <mergeCell ref="K30:M30"/>
    <mergeCell ref="K26:M26"/>
    <mergeCell ref="D27:G27"/>
    <mergeCell ref="K27:M27"/>
    <mergeCell ref="C32:O32"/>
    <mergeCell ref="C31:O31"/>
    <mergeCell ref="K21:M22"/>
    <mergeCell ref="D22:G22"/>
    <mergeCell ref="J21:J22"/>
    <mergeCell ref="O21:O22"/>
    <mergeCell ref="C16:O16"/>
  </mergeCells>
  <printOptions horizontalCentered="1"/>
  <pageMargins left="0.27559055118110237" right="0.15748031496062992" top="0.23622047244094491" bottom="0.27559055118110237" header="0.19685039370078741" footer="0.23622047244094491"/>
  <pageSetup paperSize="9" scale="77" orientation="portrait" verticalDpi="300" r:id="rId3"/>
  <headerFooter>
    <oddFooter>&amp;C&amp;"Times New Roman,Italic"&amp;11www.rssrashtriya.org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R61"/>
  <sheetViews>
    <sheetView showGridLines="0" zoomScale="120" zoomScaleNormal="120" workbookViewId="0">
      <selection activeCell="Q40" sqref="Q40"/>
    </sheetView>
  </sheetViews>
  <sheetFormatPr defaultColWidth="0" defaultRowHeight="15.75" customHeight="1" zeroHeight="1" x14ac:dyDescent="0.25"/>
  <cols>
    <col min="1" max="1" width="3" customWidth="1"/>
    <col min="2" max="2" width="2.42578125" style="13" customWidth="1"/>
    <col min="3" max="3" width="4.5703125" style="12" customWidth="1"/>
    <col min="4" max="5" width="9.140625" style="12" customWidth="1"/>
    <col min="6" max="6" width="3.85546875" style="12" customWidth="1"/>
    <col min="7" max="7" width="5" style="12" customWidth="1"/>
    <col min="8" max="8" width="2.7109375" style="12" customWidth="1"/>
    <col min="9" max="9" width="10.5703125" style="12" customWidth="1"/>
    <col min="10" max="10" width="5.140625" style="12" customWidth="1"/>
    <col min="11" max="11" width="12.140625" style="12" customWidth="1"/>
    <col min="12" max="12" width="12.28515625" style="12" customWidth="1"/>
    <col min="13" max="13" width="9.42578125" style="12" customWidth="1"/>
    <col min="14" max="14" width="3.5703125" style="12" customWidth="1"/>
    <col min="15" max="15" width="13" style="12" customWidth="1"/>
    <col min="16" max="16" width="2.7109375" style="14" bestFit="1" customWidth="1"/>
    <col min="17" max="17" width="14" style="15" customWidth="1"/>
    <col min="18" max="18" width="3.85546875" customWidth="1"/>
    <col min="19" max="16384" width="9.140625" hidden="1"/>
  </cols>
  <sheetData>
    <row r="1" spans="2:17" s="16" customFormat="1" ht="18.75" x14ac:dyDescent="0.2">
      <c r="B1" s="360" t="str">
        <f>GA55A!C3</f>
        <v>Office of the Principal, Govt. Sr. Secondary School Todaraisingh (Tonk)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56" t="s">
        <v>234</v>
      </c>
      <c r="P1" s="356"/>
      <c r="Q1" s="357"/>
    </row>
    <row r="2" spans="2:17" s="16" customFormat="1" ht="21" thickBot="1" x14ac:dyDescent="0.25">
      <c r="B2" s="354" t="s">
        <v>227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8"/>
      <c r="P2" s="358"/>
      <c r="Q2" s="359"/>
    </row>
    <row r="3" spans="2:17" s="16" customFormat="1" ht="17.100000000000001" customHeight="1" x14ac:dyDescent="0.2">
      <c r="B3" s="23">
        <v>1</v>
      </c>
      <c r="C3" s="362" t="s">
        <v>10</v>
      </c>
      <c r="D3" s="363"/>
      <c r="E3" s="341" t="str">
        <f>GA55A!D6</f>
        <v>Chandra Prakash Kurmi</v>
      </c>
      <c r="F3" s="341"/>
      <c r="G3" s="341"/>
      <c r="H3" s="341"/>
      <c r="I3" s="341"/>
      <c r="J3" s="341"/>
      <c r="K3" s="24" t="s">
        <v>31</v>
      </c>
      <c r="L3" s="342" t="str">
        <f>GA55A!K6</f>
        <v>Lecturer (L-13)</v>
      </c>
      <c r="M3" s="342"/>
      <c r="N3" s="342"/>
      <c r="O3" s="25" t="s">
        <v>29</v>
      </c>
      <c r="P3" s="342" t="str">
        <f>IF(GA55A!P6="","",GA55A!P6)</f>
        <v>AAAAAXXXXA</v>
      </c>
      <c r="Q3" s="364"/>
    </row>
    <row r="4" spans="2:17" s="16" customFormat="1" ht="17.100000000000001" customHeight="1" x14ac:dyDescent="0.2">
      <c r="B4" s="21">
        <v>2</v>
      </c>
      <c r="C4" s="365" t="s">
        <v>228</v>
      </c>
      <c r="D4" s="365"/>
      <c r="E4" s="289"/>
      <c r="F4" s="289"/>
      <c r="G4" s="289"/>
      <c r="H4" s="289"/>
      <c r="I4" s="289"/>
      <c r="J4" s="289"/>
      <c r="K4" s="365"/>
      <c r="L4" s="289"/>
      <c r="M4" s="289"/>
      <c r="N4" s="289"/>
      <c r="O4" s="365"/>
      <c r="P4" s="128" t="s">
        <v>11</v>
      </c>
      <c r="Q4" s="149">
        <f>IF(Master!B11="No",GA55A!N30,(GA55A!N30+GA55A!O30))</f>
        <v>1223948</v>
      </c>
    </row>
    <row r="5" spans="2:17" s="16" customFormat="1" ht="17.100000000000001" customHeight="1" x14ac:dyDescent="0.2">
      <c r="B5" s="21">
        <v>3</v>
      </c>
      <c r="C5" s="289" t="s">
        <v>104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128" t="s">
        <v>11</v>
      </c>
      <c r="Q5" s="150">
        <f>'Other Deduction'!E20</f>
        <v>0</v>
      </c>
    </row>
    <row r="6" spans="2:17" s="16" customFormat="1" ht="17.100000000000001" customHeight="1" x14ac:dyDescent="0.2">
      <c r="B6" s="21">
        <v>4</v>
      </c>
      <c r="C6" s="366" t="s">
        <v>32</v>
      </c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128" t="s">
        <v>11</v>
      </c>
      <c r="Q6" s="150">
        <f>Q4-Q5</f>
        <v>1223948</v>
      </c>
    </row>
    <row r="7" spans="2:17" s="16" customFormat="1" ht="17.100000000000001" customHeight="1" x14ac:dyDescent="0.2">
      <c r="B7" s="305">
        <v>5</v>
      </c>
      <c r="C7" s="312" t="s">
        <v>160</v>
      </c>
      <c r="D7" s="313"/>
      <c r="E7" s="313"/>
      <c r="F7" s="313"/>
      <c r="G7" s="313"/>
      <c r="H7" s="313"/>
      <c r="I7" s="313"/>
      <c r="J7" s="313"/>
      <c r="K7" s="313"/>
      <c r="L7" s="313"/>
      <c r="M7" s="302">
        <v>0</v>
      </c>
      <c r="N7" s="302"/>
      <c r="O7" s="302"/>
      <c r="P7" s="335"/>
      <c r="Q7" s="349"/>
    </row>
    <row r="8" spans="2:17" s="16" customFormat="1" ht="17.100000000000001" customHeight="1" x14ac:dyDescent="0.2">
      <c r="B8" s="306"/>
      <c r="C8" s="312" t="s">
        <v>161</v>
      </c>
      <c r="D8" s="313"/>
      <c r="E8" s="313"/>
      <c r="F8" s="313"/>
      <c r="G8" s="313"/>
      <c r="H8" s="313"/>
      <c r="I8" s="313"/>
      <c r="J8" s="313"/>
      <c r="K8" s="313"/>
      <c r="L8" s="313"/>
      <c r="M8" s="302">
        <v>0</v>
      </c>
      <c r="N8" s="302"/>
      <c r="O8" s="302"/>
      <c r="P8" s="350"/>
      <c r="Q8" s="351"/>
    </row>
    <row r="9" spans="2:17" s="16" customFormat="1" ht="17.100000000000001" customHeight="1" x14ac:dyDescent="0.2">
      <c r="B9" s="306"/>
      <c r="C9" s="312" t="s">
        <v>185</v>
      </c>
      <c r="D9" s="313"/>
      <c r="E9" s="313"/>
      <c r="F9" s="313"/>
      <c r="G9" s="313"/>
      <c r="H9" s="313"/>
      <c r="I9" s="313"/>
      <c r="J9" s="313"/>
      <c r="K9" s="313"/>
      <c r="L9" s="313"/>
      <c r="M9" s="302">
        <v>0</v>
      </c>
      <c r="N9" s="302"/>
      <c r="O9" s="302"/>
      <c r="P9" s="352"/>
      <c r="Q9" s="353"/>
    </row>
    <row r="10" spans="2:17" s="16" customFormat="1" ht="17.100000000000001" customHeight="1" x14ac:dyDescent="0.2">
      <c r="B10" s="307"/>
      <c r="C10" s="329" t="s">
        <v>162</v>
      </c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1"/>
      <c r="P10" s="128" t="s">
        <v>11</v>
      </c>
      <c r="Q10" s="150">
        <f>SUM(M7:O9)</f>
        <v>0</v>
      </c>
    </row>
    <row r="11" spans="2:17" s="16" customFormat="1" ht="17.100000000000001" customHeight="1" x14ac:dyDescent="0.2">
      <c r="B11" s="21">
        <v>6</v>
      </c>
      <c r="C11" s="329" t="s">
        <v>12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1"/>
      <c r="P11" s="128" t="s">
        <v>11</v>
      </c>
      <c r="Q11" s="149">
        <f>Q6-Q10</f>
        <v>1223948</v>
      </c>
    </row>
    <row r="12" spans="2:17" s="16" customFormat="1" ht="17.100000000000001" customHeight="1" x14ac:dyDescent="0.2">
      <c r="B12" s="288">
        <v>7</v>
      </c>
      <c r="C12" s="289" t="s">
        <v>33</v>
      </c>
      <c r="D12" s="289"/>
      <c r="E12" s="289"/>
      <c r="F12" s="289"/>
      <c r="G12" s="289"/>
      <c r="H12" s="289"/>
      <c r="I12" s="289"/>
      <c r="J12" s="289"/>
      <c r="K12" s="290" t="s">
        <v>34</v>
      </c>
      <c r="L12" s="290"/>
      <c r="M12" s="302">
        <v>0</v>
      </c>
      <c r="N12" s="302"/>
      <c r="O12" s="302"/>
      <c r="P12" s="343"/>
      <c r="Q12" s="344"/>
    </row>
    <row r="13" spans="2:17" s="16" customFormat="1" ht="17.100000000000001" customHeight="1" x14ac:dyDescent="0.2">
      <c r="B13" s="288"/>
      <c r="C13" s="297" t="s">
        <v>35</v>
      </c>
      <c r="D13" s="298"/>
      <c r="E13" s="294" t="s">
        <v>77</v>
      </c>
      <c r="F13" s="295"/>
      <c r="G13" s="296"/>
      <c r="H13" s="345" t="s">
        <v>13</v>
      </c>
      <c r="I13" s="345"/>
      <c r="J13" s="345"/>
      <c r="K13" s="290" t="s">
        <v>36</v>
      </c>
      <c r="L13" s="290"/>
      <c r="M13" s="290" t="s">
        <v>63</v>
      </c>
      <c r="N13" s="290"/>
      <c r="O13" s="290"/>
      <c r="P13" s="343"/>
      <c r="Q13" s="344"/>
    </row>
    <row r="14" spans="2:17" s="16" customFormat="1" ht="17.100000000000001" customHeight="1" x14ac:dyDescent="0.2">
      <c r="B14" s="288"/>
      <c r="C14" s="299"/>
      <c r="D14" s="300"/>
      <c r="E14" s="291">
        <v>0</v>
      </c>
      <c r="F14" s="292"/>
      <c r="G14" s="293"/>
      <c r="H14" s="302">
        <v>0</v>
      </c>
      <c r="I14" s="302"/>
      <c r="J14" s="302"/>
      <c r="K14" s="302">
        <v>0</v>
      </c>
      <c r="L14" s="302"/>
      <c r="M14" s="302">
        <v>0</v>
      </c>
      <c r="N14" s="302"/>
      <c r="O14" s="302"/>
      <c r="P14" s="343"/>
      <c r="Q14" s="344"/>
    </row>
    <row r="15" spans="2:17" s="16" customFormat="1" ht="17.100000000000001" customHeight="1" x14ac:dyDescent="0.2">
      <c r="B15" s="21"/>
      <c r="C15" s="346" t="s">
        <v>37</v>
      </c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8"/>
      <c r="P15" s="128" t="s">
        <v>11</v>
      </c>
      <c r="Q15" s="150">
        <v>0</v>
      </c>
    </row>
    <row r="16" spans="2:17" s="16" customFormat="1" ht="17.100000000000001" customHeight="1" x14ac:dyDescent="0.2">
      <c r="B16" s="21">
        <v>8</v>
      </c>
      <c r="C16" s="329" t="s">
        <v>64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1"/>
      <c r="P16" s="128" t="s">
        <v>11</v>
      </c>
      <c r="Q16" s="150">
        <f>Q11+Q15</f>
        <v>1223948</v>
      </c>
    </row>
    <row r="17" spans="2:17" s="16" customFormat="1" ht="17.100000000000001" customHeight="1" x14ac:dyDescent="0.2">
      <c r="B17" s="21">
        <v>9</v>
      </c>
      <c r="C17" s="289" t="s">
        <v>28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128" t="s">
        <v>11</v>
      </c>
      <c r="Q17" s="150">
        <f>'Other Deduction'!I6</f>
        <v>0</v>
      </c>
    </row>
    <row r="18" spans="2:17" s="16" customFormat="1" ht="17.100000000000001" customHeight="1" x14ac:dyDescent="0.2">
      <c r="B18" s="21">
        <v>10</v>
      </c>
      <c r="C18" s="304" t="s">
        <v>163</v>
      </c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128" t="s">
        <v>11</v>
      </c>
      <c r="Q18" s="149">
        <f>Q16+Q17</f>
        <v>1223948</v>
      </c>
    </row>
    <row r="19" spans="2:17" s="16" customFormat="1" ht="17.100000000000001" customHeight="1" x14ac:dyDescent="0.2">
      <c r="B19" s="305">
        <v>11</v>
      </c>
      <c r="C19" s="304" t="s">
        <v>237</v>
      </c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32"/>
    </row>
    <row r="20" spans="2:17" s="16" customFormat="1" ht="17.100000000000001" customHeight="1" x14ac:dyDescent="0.25">
      <c r="B20" s="306"/>
      <c r="C20" s="411" t="s">
        <v>236</v>
      </c>
      <c r="D20" s="412"/>
      <c r="E20" s="412"/>
      <c r="F20" s="412"/>
      <c r="G20" s="412"/>
      <c r="H20" s="412"/>
      <c r="I20" s="412"/>
      <c r="J20" s="412"/>
      <c r="K20" s="412"/>
      <c r="L20" s="413"/>
      <c r="M20" s="413"/>
      <c r="N20" s="413"/>
      <c r="O20" s="414"/>
      <c r="P20" s="128" t="s">
        <v>11</v>
      </c>
      <c r="Q20" s="150">
        <v>0</v>
      </c>
    </row>
    <row r="21" spans="2:17" s="16" customFormat="1" ht="17.100000000000001" customHeight="1" x14ac:dyDescent="0.2">
      <c r="B21" s="306"/>
      <c r="C21" s="315" t="s">
        <v>107</v>
      </c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7"/>
      <c r="P21" s="128"/>
      <c r="Q21" s="151">
        <f>'Other Deduction'!H9</f>
        <v>104928</v>
      </c>
    </row>
    <row r="22" spans="2:17" s="16" customFormat="1" ht="17.100000000000001" customHeight="1" x14ac:dyDescent="0.2">
      <c r="B22" s="306"/>
      <c r="C22" s="405" t="s">
        <v>106</v>
      </c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407"/>
      <c r="P22" s="128" t="s">
        <v>11</v>
      </c>
      <c r="Q22" s="150">
        <v>0</v>
      </c>
    </row>
    <row r="23" spans="2:17" s="16" customFormat="1" ht="17.100000000000001" customHeight="1" x14ac:dyDescent="0.25">
      <c r="B23" s="307"/>
      <c r="C23" s="408" t="s">
        <v>184</v>
      </c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10"/>
      <c r="P23" s="128" t="s">
        <v>11</v>
      </c>
      <c r="Q23" s="149">
        <f>SUM(Q20:Q22)</f>
        <v>104928</v>
      </c>
    </row>
    <row r="24" spans="2:17" s="16" customFormat="1" ht="17.100000000000001" customHeight="1" x14ac:dyDescent="0.2">
      <c r="B24" s="305">
        <v>12</v>
      </c>
      <c r="C24" s="304" t="s">
        <v>105</v>
      </c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32"/>
    </row>
    <row r="25" spans="2:17" s="16" customFormat="1" ht="17.100000000000001" customHeight="1" x14ac:dyDescent="0.2">
      <c r="B25" s="306"/>
      <c r="C25" s="401" t="s">
        <v>148</v>
      </c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3"/>
      <c r="P25" s="128" t="s">
        <v>11</v>
      </c>
      <c r="Q25" s="150">
        <v>0</v>
      </c>
    </row>
    <row r="26" spans="2:17" s="16" customFormat="1" ht="17.100000000000001" customHeight="1" x14ac:dyDescent="0.2">
      <c r="B26" s="306"/>
      <c r="C26" s="289" t="s">
        <v>149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128" t="s">
        <v>11</v>
      </c>
      <c r="Q26" s="150">
        <v>0</v>
      </c>
    </row>
    <row r="27" spans="2:17" s="16" customFormat="1" ht="17.100000000000001" customHeight="1" x14ac:dyDescent="0.2">
      <c r="B27" s="306"/>
      <c r="C27" s="289" t="s">
        <v>150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128" t="s">
        <v>11</v>
      </c>
      <c r="Q27" s="150">
        <v>0</v>
      </c>
    </row>
    <row r="28" spans="2:17" s="16" customFormat="1" ht="17.100000000000001" customHeight="1" x14ac:dyDescent="0.2">
      <c r="B28" s="306"/>
      <c r="C28" s="289" t="s">
        <v>120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128" t="s">
        <v>11</v>
      </c>
      <c r="Q28" s="150">
        <v>0</v>
      </c>
    </row>
    <row r="29" spans="2:17" s="16" customFormat="1" ht="17.100000000000001" customHeight="1" x14ac:dyDescent="0.2">
      <c r="B29" s="306"/>
      <c r="C29" s="289" t="s">
        <v>121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128" t="s">
        <v>11</v>
      </c>
      <c r="Q29" s="150">
        <v>0</v>
      </c>
    </row>
    <row r="30" spans="2:17" s="16" customFormat="1" ht="17.100000000000001" customHeight="1" x14ac:dyDescent="0.2">
      <c r="B30" s="306"/>
      <c r="C30" s="401" t="s">
        <v>122</v>
      </c>
      <c r="D30" s="402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  <c r="P30" s="128" t="s">
        <v>11</v>
      </c>
      <c r="Q30" s="150">
        <v>0</v>
      </c>
    </row>
    <row r="31" spans="2:17" s="16" customFormat="1" ht="17.100000000000001" customHeight="1" x14ac:dyDescent="0.2">
      <c r="B31" s="306"/>
      <c r="C31" s="312" t="s">
        <v>157</v>
      </c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4"/>
      <c r="P31" s="128"/>
      <c r="Q31" s="150">
        <v>0</v>
      </c>
    </row>
    <row r="32" spans="2:17" s="16" customFormat="1" ht="17.100000000000001" customHeight="1" x14ac:dyDescent="0.2">
      <c r="B32" s="306"/>
      <c r="C32" s="312" t="s">
        <v>158</v>
      </c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4"/>
      <c r="P32" s="128" t="s">
        <v>11</v>
      </c>
      <c r="Q32" s="150">
        <v>0</v>
      </c>
    </row>
    <row r="33" spans="2:17" s="16" customFormat="1" ht="17.100000000000001" customHeight="1" x14ac:dyDescent="0.2">
      <c r="B33" s="306"/>
      <c r="C33" s="312" t="s">
        <v>156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4"/>
      <c r="P33" s="128" t="s">
        <v>11</v>
      </c>
      <c r="Q33" s="150">
        <v>0</v>
      </c>
    </row>
    <row r="34" spans="2:17" s="16" customFormat="1" ht="17.100000000000001" customHeight="1" x14ac:dyDescent="0.2">
      <c r="B34" s="307"/>
      <c r="C34" s="404" t="s">
        <v>245</v>
      </c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128" t="s">
        <v>11</v>
      </c>
      <c r="Q34" s="150">
        <f>SUM(Q25:Q33)</f>
        <v>0</v>
      </c>
    </row>
    <row r="35" spans="2:17" s="16" customFormat="1" ht="17.100000000000001" customHeight="1" x14ac:dyDescent="0.2">
      <c r="B35" s="21">
        <v>13</v>
      </c>
      <c r="C35" s="304" t="s">
        <v>103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128" t="s">
        <v>11</v>
      </c>
      <c r="Q35" s="150">
        <f>Q23+Q34</f>
        <v>104928</v>
      </c>
    </row>
    <row r="36" spans="2:17" s="16" customFormat="1" ht="17.100000000000001" customHeight="1" x14ac:dyDescent="0.2">
      <c r="B36" s="21">
        <v>14</v>
      </c>
      <c r="C36" s="289" t="s">
        <v>65</v>
      </c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128" t="s">
        <v>11</v>
      </c>
      <c r="Q36" s="150">
        <f>(Q18-Q35)</f>
        <v>1119020</v>
      </c>
    </row>
    <row r="37" spans="2:17" s="16" customFormat="1" ht="17.100000000000001" customHeight="1" x14ac:dyDescent="0.2">
      <c r="B37" s="21">
        <v>15</v>
      </c>
      <c r="C37" s="304" t="s">
        <v>144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128" t="s">
        <v>11</v>
      </c>
      <c r="Q37" s="149">
        <f>ROUND(Q36,-1)</f>
        <v>1119020</v>
      </c>
    </row>
    <row r="38" spans="2:17" s="16" customFormat="1" ht="17.100000000000001" customHeight="1" x14ac:dyDescent="0.2">
      <c r="B38" s="305">
        <v>16</v>
      </c>
      <c r="C38" s="289" t="s">
        <v>55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389"/>
    </row>
    <row r="39" spans="2:17" s="16" customFormat="1" ht="17.100000000000001" customHeight="1" x14ac:dyDescent="0.2">
      <c r="B39" s="306"/>
      <c r="C39" s="390" t="s">
        <v>101</v>
      </c>
      <c r="D39" s="390"/>
      <c r="E39" s="390"/>
      <c r="F39" s="390"/>
      <c r="G39" s="390"/>
      <c r="H39" s="390" t="s">
        <v>88</v>
      </c>
      <c r="I39" s="390"/>
      <c r="J39" s="390"/>
      <c r="K39" s="390"/>
      <c r="L39" s="391" t="s">
        <v>238</v>
      </c>
      <c r="M39" s="392"/>
      <c r="N39" s="392"/>
      <c r="O39" s="393"/>
      <c r="P39" s="7"/>
      <c r="Q39" s="22"/>
    </row>
    <row r="40" spans="2:17" s="16" customFormat="1" ht="17.100000000000001" customHeight="1" x14ac:dyDescent="0.2">
      <c r="B40" s="306"/>
      <c r="C40" s="369" t="s">
        <v>190</v>
      </c>
      <c r="D40" s="370"/>
      <c r="E40" s="371"/>
      <c r="F40" s="368" t="s">
        <v>56</v>
      </c>
      <c r="G40" s="368"/>
      <c r="H40" s="369" t="s">
        <v>190</v>
      </c>
      <c r="I40" s="370"/>
      <c r="J40" s="371"/>
      <c r="K40" s="125" t="s">
        <v>56</v>
      </c>
      <c r="L40" s="415" t="s">
        <v>239</v>
      </c>
      <c r="M40" s="416"/>
      <c r="N40" s="417"/>
      <c r="O40" s="126" t="s">
        <v>56</v>
      </c>
      <c r="P40" s="128" t="s">
        <v>11</v>
      </c>
      <c r="Q40" s="152">
        <v>0</v>
      </c>
    </row>
    <row r="41" spans="2:17" s="16" customFormat="1" ht="17.100000000000001" customHeight="1" x14ac:dyDescent="0.2">
      <c r="B41" s="306"/>
      <c r="C41" s="368" t="s">
        <v>89</v>
      </c>
      <c r="D41" s="368"/>
      <c r="E41" s="368"/>
      <c r="F41" s="367">
        <v>0.05</v>
      </c>
      <c r="G41" s="368"/>
      <c r="H41" s="368" t="s">
        <v>89</v>
      </c>
      <c r="I41" s="368"/>
      <c r="J41" s="368"/>
      <c r="K41" s="124">
        <v>0.05</v>
      </c>
      <c r="L41" s="415" t="s">
        <v>57</v>
      </c>
      <c r="M41" s="416"/>
      <c r="N41" s="417"/>
      <c r="O41" s="124">
        <v>0.05</v>
      </c>
      <c r="P41" s="128" t="s">
        <v>11</v>
      </c>
      <c r="Q41" s="152">
        <f>ROUND(IF(Master!$B$14="NO",IF(Q37&lt;250001,0,IF(Q37&gt;500000,12500,((Q37-250000)*0.05))),IF(Q37&lt;300001,0,IF(Q37&gt;500000,10000,((Q37-300000)*0.05)))),0)</f>
        <v>12500</v>
      </c>
    </row>
    <row r="42" spans="2:17" s="16" customFormat="1" ht="17.100000000000001" customHeight="1" x14ac:dyDescent="0.2">
      <c r="B42" s="306"/>
      <c r="C42" s="415" t="s">
        <v>240</v>
      </c>
      <c r="D42" s="416"/>
      <c r="E42" s="417"/>
      <c r="F42" s="367">
        <v>0.1</v>
      </c>
      <c r="G42" s="368"/>
      <c r="H42" s="415" t="s">
        <v>240</v>
      </c>
      <c r="I42" s="416"/>
      <c r="J42" s="417"/>
      <c r="K42" s="124">
        <v>0.1</v>
      </c>
      <c r="L42" s="415" t="s">
        <v>240</v>
      </c>
      <c r="M42" s="416"/>
      <c r="N42" s="417"/>
      <c r="O42" s="124">
        <v>0.1</v>
      </c>
      <c r="P42" s="128" t="s">
        <v>11</v>
      </c>
      <c r="Q42" s="152">
        <f>IF(Q37&lt;500001,0,IF(Q37&gt;750000,25000,((Q37-500000)*0.1)))</f>
        <v>25000</v>
      </c>
    </row>
    <row r="43" spans="2:17" s="16" customFormat="1" ht="17.100000000000001" customHeight="1" x14ac:dyDescent="0.2">
      <c r="B43" s="306"/>
      <c r="C43" s="415" t="s">
        <v>241</v>
      </c>
      <c r="D43" s="416"/>
      <c r="E43" s="417"/>
      <c r="F43" s="418">
        <v>0.15</v>
      </c>
      <c r="G43" s="419"/>
      <c r="H43" s="415" t="s">
        <v>241</v>
      </c>
      <c r="I43" s="416"/>
      <c r="J43" s="417"/>
      <c r="K43" s="124">
        <v>0.15</v>
      </c>
      <c r="L43" s="415" t="s">
        <v>241</v>
      </c>
      <c r="M43" s="416"/>
      <c r="N43" s="417"/>
      <c r="O43" s="124">
        <v>0.15</v>
      </c>
      <c r="P43" s="128" t="s">
        <v>11</v>
      </c>
      <c r="Q43" s="152">
        <f>IF(Q37&lt;750001,0,IF(Q37&gt;1000000,37500,((Q37-750000)*0.15)))</f>
        <v>37500</v>
      </c>
    </row>
    <row r="44" spans="2:17" s="16" customFormat="1" ht="17.100000000000001" customHeight="1" x14ac:dyDescent="0.2">
      <c r="B44" s="306"/>
      <c r="C44" s="415" t="s">
        <v>242</v>
      </c>
      <c r="D44" s="416"/>
      <c r="E44" s="417"/>
      <c r="F44" s="418">
        <v>0.2</v>
      </c>
      <c r="G44" s="419"/>
      <c r="H44" s="415" t="s">
        <v>242</v>
      </c>
      <c r="I44" s="416"/>
      <c r="J44" s="417"/>
      <c r="K44" s="124">
        <v>0.2</v>
      </c>
      <c r="L44" s="415" t="s">
        <v>242</v>
      </c>
      <c r="M44" s="416"/>
      <c r="N44" s="417"/>
      <c r="O44" s="124">
        <v>0.2</v>
      </c>
      <c r="P44" s="128" t="s">
        <v>11</v>
      </c>
      <c r="Q44" s="152">
        <f>IF(Q37&lt;1000001,0,IF(Q37&gt;1250000,50000,((Q37-1000000)*0.2)))</f>
        <v>23804</v>
      </c>
    </row>
    <row r="45" spans="2:17" s="16" customFormat="1" ht="17.100000000000001" customHeight="1" x14ac:dyDescent="0.2">
      <c r="B45" s="306"/>
      <c r="C45" s="415" t="s">
        <v>243</v>
      </c>
      <c r="D45" s="416"/>
      <c r="E45" s="417"/>
      <c r="F45" s="418">
        <v>0.25</v>
      </c>
      <c r="G45" s="419"/>
      <c r="H45" s="415" t="s">
        <v>243</v>
      </c>
      <c r="I45" s="416"/>
      <c r="J45" s="417"/>
      <c r="K45" s="124">
        <v>0.25</v>
      </c>
      <c r="L45" s="415" t="s">
        <v>243</v>
      </c>
      <c r="M45" s="416"/>
      <c r="N45" s="417"/>
      <c r="O45" s="124">
        <v>0.25</v>
      </c>
      <c r="P45" s="128" t="s">
        <v>11</v>
      </c>
      <c r="Q45" s="152">
        <f>IF(Q37&lt;1250001,0,IF(Q37&gt;1500000,62500,((Q37-1250000)*0.25)))</f>
        <v>0</v>
      </c>
    </row>
    <row r="46" spans="2:17" s="16" customFormat="1" ht="17.100000000000001" customHeight="1" x14ac:dyDescent="0.2">
      <c r="B46" s="306"/>
      <c r="C46" s="415" t="s">
        <v>244</v>
      </c>
      <c r="D46" s="416"/>
      <c r="E46" s="417"/>
      <c r="F46" s="418">
        <v>0.3</v>
      </c>
      <c r="G46" s="419"/>
      <c r="H46" s="415" t="s">
        <v>244</v>
      </c>
      <c r="I46" s="416"/>
      <c r="J46" s="417"/>
      <c r="K46" s="124">
        <v>0.3</v>
      </c>
      <c r="L46" s="415" t="s">
        <v>244</v>
      </c>
      <c r="M46" s="416"/>
      <c r="N46" s="417"/>
      <c r="O46" s="124">
        <v>0.3</v>
      </c>
      <c r="P46" s="128" t="s">
        <v>11</v>
      </c>
      <c r="Q46" s="152">
        <f>IF(Q37&lt;1500001,0,(Q37-1500000)*0.3)</f>
        <v>0</v>
      </c>
    </row>
    <row r="47" spans="2:17" s="16" customFormat="1" ht="17.100000000000001" customHeight="1" x14ac:dyDescent="0.2">
      <c r="B47" s="306"/>
      <c r="C47" s="384" t="s">
        <v>66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6"/>
      <c r="P47" s="128" t="s">
        <v>11</v>
      </c>
      <c r="Q47" s="149">
        <f>SUM(Q40:Q46)</f>
        <v>98804</v>
      </c>
    </row>
    <row r="48" spans="2:17" s="16" customFormat="1" ht="17.100000000000001" customHeight="1" x14ac:dyDescent="0.2">
      <c r="B48" s="306"/>
      <c r="C48" s="397" t="s">
        <v>153</v>
      </c>
      <c r="D48" s="398"/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9"/>
      <c r="P48" s="128" t="s">
        <v>11</v>
      </c>
      <c r="Q48" s="150">
        <f>IF(Q37&gt;500000,0,IF(Q47&lt;12501,Q47,12500))</f>
        <v>0</v>
      </c>
    </row>
    <row r="49" spans="1:18" s="16" customFormat="1" ht="17.100000000000001" customHeight="1" x14ac:dyDescent="0.2">
      <c r="B49" s="306"/>
      <c r="C49" s="384" t="s">
        <v>91</v>
      </c>
      <c r="D49" s="385"/>
      <c r="E49" s="385"/>
      <c r="F49" s="385"/>
      <c r="G49" s="385"/>
      <c r="H49" s="385"/>
      <c r="I49" s="385"/>
      <c r="J49" s="385"/>
      <c r="K49" s="385"/>
      <c r="L49" s="385"/>
      <c r="M49" s="385"/>
      <c r="N49" s="385"/>
      <c r="O49" s="386"/>
      <c r="P49" s="128" t="s">
        <v>11</v>
      </c>
      <c r="Q49" s="149">
        <f>Q47-Q48</f>
        <v>98804</v>
      </c>
    </row>
    <row r="50" spans="1:18" s="16" customFormat="1" ht="17.100000000000001" customHeight="1" x14ac:dyDescent="0.2">
      <c r="B50" s="306"/>
      <c r="C50" s="387" t="s">
        <v>145</v>
      </c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128" t="s">
        <v>11</v>
      </c>
      <c r="Q50" s="150">
        <f>ROUND(Q49*0.04,0)</f>
        <v>3952</v>
      </c>
    </row>
    <row r="51" spans="1:18" s="16" customFormat="1" ht="17.100000000000001" customHeight="1" x14ac:dyDescent="0.2">
      <c r="B51" s="307"/>
      <c r="C51" s="388" t="s">
        <v>92</v>
      </c>
      <c r="D51" s="388"/>
      <c r="E51" s="388"/>
      <c r="F51" s="388"/>
      <c r="G51" s="388"/>
      <c r="H51" s="388"/>
      <c r="I51" s="388"/>
      <c r="J51" s="388"/>
      <c r="K51" s="388"/>
      <c r="L51" s="388"/>
      <c r="M51" s="388"/>
      <c r="N51" s="388"/>
      <c r="O51" s="388"/>
      <c r="P51" s="128" t="s">
        <v>11</v>
      </c>
      <c r="Q51" s="149">
        <f>SUM(Q49:Q50)</f>
        <v>102756</v>
      </c>
    </row>
    <row r="52" spans="1:18" s="16" customFormat="1" ht="17.100000000000001" customHeight="1" x14ac:dyDescent="0.2">
      <c r="B52" s="21">
        <v>17</v>
      </c>
      <c r="C52" s="312" t="s">
        <v>67</v>
      </c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4"/>
      <c r="P52" s="128" t="s">
        <v>11</v>
      </c>
      <c r="Q52" s="150">
        <f>'Other Deduction'!E18</f>
        <v>0</v>
      </c>
    </row>
    <row r="53" spans="1:18" s="16" customFormat="1" ht="17.100000000000001" customHeight="1" x14ac:dyDescent="0.2">
      <c r="B53" s="21">
        <v>18</v>
      </c>
      <c r="C53" s="304" t="s">
        <v>76</v>
      </c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128" t="s">
        <v>11</v>
      </c>
      <c r="Q53" s="149">
        <f>Q51-Q52</f>
        <v>102756</v>
      </c>
    </row>
    <row r="54" spans="1:18" ht="33.75" customHeight="1" x14ac:dyDescent="0.2">
      <c r="B54" s="305">
        <v>19</v>
      </c>
      <c r="C54" s="379" t="s">
        <v>59</v>
      </c>
      <c r="D54" s="379"/>
      <c r="E54" s="380"/>
      <c r="F54" s="376" t="s">
        <v>229</v>
      </c>
      <c r="G54" s="376"/>
      <c r="H54" s="376"/>
      <c r="I54" s="376"/>
      <c r="J54" s="377" t="s">
        <v>232</v>
      </c>
      <c r="K54" s="378"/>
      <c r="L54" s="127" t="s">
        <v>230</v>
      </c>
      <c r="M54" s="377" t="s">
        <v>231</v>
      </c>
      <c r="N54" s="378"/>
      <c r="O54" s="127" t="s">
        <v>79</v>
      </c>
      <c r="P54" s="377" t="s">
        <v>152</v>
      </c>
      <c r="Q54" s="400"/>
    </row>
    <row r="55" spans="1:18" ht="15.75" customHeight="1" x14ac:dyDescent="0.2">
      <c r="B55" s="307"/>
      <c r="C55" s="381"/>
      <c r="D55" s="381"/>
      <c r="E55" s="382"/>
      <c r="F55" s="372">
        <f>SUM(GA55A!W9:W15)</f>
        <v>35000</v>
      </c>
      <c r="G55" s="372"/>
      <c r="H55" s="372"/>
      <c r="I55" s="372"/>
      <c r="J55" s="372">
        <f>SUM(GA55A!W16:W18)</f>
        <v>15000</v>
      </c>
      <c r="K55" s="372"/>
      <c r="L55" s="19">
        <f>GA55A!W19</f>
        <v>5000</v>
      </c>
      <c r="M55" s="372">
        <f>GA55A!W20</f>
        <v>5000</v>
      </c>
      <c r="N55" s="372"/>
      <c r="O55" s="50">
        <f>SUM(GA55A!W21:W29)+'Other Deduction'!E19</f>
        <v>9570</v>
      </c>
      <c r="P55" s="128" t="s">
        <v>11</v>
      </c>
      <c r="Q55" s="100">
        <f>F55+J55+L55+M55+O55</f>
        <v>69570</v>
      </c>
    </row>
    <row r="56" spans="1:18" ht="17.100000000000001" customHeight="1" thickBot="1" x14ac:dyDescent="0.25">
      <c r="B56" s="420" t="str">
        <f>IF(Q53&gt;Q55,"Income Tax Payable (New Tax Regime)",IF(Q53&lt;Q55,"Income Tax Refundable (New Tax Regime)","Income Tax Payble/Refundable"))</f>
        <v>Income Tax Payable (New Tax Regime)</v>
      </c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119" t="s">
        <v>11</v>
      </c>
      <c r="Q56" s="129">
        <f>Q53-Q55</f>
        <v>33186</v>
      </c>
    </row>
    <row r="57" spans="1:18" x14ac:dyDescent="0.2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7"/>
      <c r="Q57" s="28"/>
    </row>
    <row r="58" spans="1:18" x14ac:dyDescent="0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1"/>
    </row>
    <row r="59" spans="1:18" x14ac:dyDescent="0.25">
      <c r="B59" s="8"/>
      <c r="C59" s="9"/>
      <c r="D59" s="9"/>
      <c r="E59" s="105" t="s">
        <v>61</v>
      </c>
      <c r="F59" s="9"/>
      <c r="G59" s="9"/>
      <c r="H59" s="9"/>
      <c r="I59" s="9"/>
      <c r="J59" s="9"/>
      <c r="K59" s="9"/>
      <c r="L59" s="9"/>
      <c r="M59" s="9"/>
      <c r="N59" s="9"/>
      <c r="O59" s="105" t="s">
        <v>62</v>
      </c>
      <c r="P59" s="10"/>
      <c r="Q59" s="11"/>
    </row>
    <row r="60" spans="1:18" s="142" customFormat="1" ht="56.25" customHeight="1" x14ac:dyDescent="0.3">
      <c r="A60" s="287" t="s">
        <v>260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</row>
    <row r="61" spans="1:18" s="51" customFormat="1" ht="24" hidden="1" customHeight="1" x14ac:dyDescent="0.25">
      <c r="B61" s="52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</row>
  </sheetData>
  <sheetProtection password="CF11" sheet="1" objects="1" scenarios="1" selectLockedCells="1"/>
  <mergeCells count="111">
    <mergeCell ref="C47:O47"/>
    <mergeCell ref="C48:O48"/>
    <mergeCell ref="C49:O49"/>
    <mergeCell ref="C50:O50"/>
    <mergeCell ref="C51:O51"/>
    <mergeCell ref="C52:O52"/>
    <mergeCell ref="C42:E42"/>
    <mergeCell ref="F42:G42"/>
    <mergeCell ref="P54:Q54"/>
    <mergeCell ref="H42:J42"/>
    <mergeCell ref="L42:N42"/>
    <mergeCell ref="F44:G44"/>
    <mergeCell ref="F45:G45"/>
    <mergeCell ref="F46:G46"/>
    <mergeCell ref="L43:N43"/>
    <mergeCell ref="L44:N44"/>
    <mergeCell ref="L45:N45"/>
    <mergeCell ref="L46:N46"/>
    <mergeCell ref="F55:I55"/>
    <mergeCell ref="J55:K55"/>
    <mergeCell ref="M55:N55"/>
    <mergeCell ref="B56:O56"/>
    <mergeCell ref="C53:O53"/>
    <mergeCell ref="B54:B55"/>
    <mergeCell ref="C54:E55"/>
    <mergeCell ref="F54:I54"/>
    <mergeCell ref="J54:K54"/>
    <mergeCell ref="M54:N54"/>
    <mergeCell ref="C40:E40"/>
    <mergeCell ref="F40:G40"/>
    <mergeCell ref="H40:J40"/>
    <mergeCell ref="L40:N40"/>
    <mergeCell ref="C41:E41"/>
    <mergeCell ref="F41:G41"/>
    <mergeCell ref="H41:J41"/>
    <mergeCell ref="L41:N41"/>
    <mergeCell ref="C33:O33"/>
    <mergeCell ref="C34:O34"/>
    <mergeCell ref="C35:O35"/>
    <mergeCell ref="C36:O36"/>
    <mergeCell ref="C37:O37"/>
    <mergeCell ref="B38:B51"/>
    <mergeCell ref="C38:Q38"/>
    <mergeCell ref="C39:G39"/>
    <mergeCell ref="H39:K39"/>
    <mergeCell ref="L39:O39"/>
    <mergeCell ref="B24:B34"/>
    <mergeCell ref="C24:Q24"/>
    <mergeCell ref="C25:O25"/>
    <mergeCell ref="C26:O26"/>
    <mergeCell ref="C27:O27"/>
    <mergeCell ref="C28:O28"/>
    <mergeCell ref="C29:O29"/>
    <mergeCell ref="C30:O30"/>
    <mergeCell ref="C31:O31"/>
    <mergeCell ref="C32:O32"/>
    <mergeCell ref="H43:J43"/>
    <mergeCell ref="H44:J44"/>
    <mergeCell ref="H45:J45"/>
    <mergeCell ref="H46:J46"/>
    <mergeCell ref="C43:E43"/>
    <mergeCell ref="C44:E44"/>
    <mergeCell ref="C45:E45"/>
    <mergeCell ref="C46:E46"/>
    <mergeCell ref="F43:G43"/>
    <mergeCell ref="B19:B23"/>
    <mergeCell ref="C19:Q19"/>
    <mergeCell ref="M13:O13"/>
    <mergeCell ref="E14:G14"/>
    <mergeCell ref="H14:J14"/>
    <mergeCell ref="K14:L14"/>
    <mergeCell ref="M14:O14"/>
    <mergeCell ref="C15:O15"/>
    <mergeCell ref="C20:K20"/>
    <mergeCell ref="L20:O20"/>
    <mergeCell ref="M12:O12"/>
    <mergeCell ref="P12:Q14"/>
    <mergeCell ref="C13:D14"/>
    <mergeCell ref="E13:G13"/>
    <mergeCell ref="H13:J13"/>
    <mergeCell ref="K13:L13"/>
    <mergeCell ref="C21:O21"/>
    <mergeCell ref="C22:O22"/>
    <mergeCell ref="C23:O23"/>
    <mergeCell ref="C16:O16"/>
    <mergeCell ref="C17:O17"/>
    <mergeCell ref="C18:O18"/>
    <mergeCell ref="A60:R60"/>
    <mergeCell ref="B7:B10"/>
    <mergeCell ref="C7:L7"/>
    <mergeCell ref="M7:O7"/>
    <mergeCell ref="B1:N1"/>
    <mergeCell ref="O1:Q2"/>
    <mergeCell ref="B2:N2"/>
    <mergeCell ref="C3:D3"/>
    <mergeCell ref="E3:J3"/>
    <mergeCell ref="L3:N3"/>
    <mergeCell ref="P3:Q3"/>
    <mergeCell ref="P7:Q9"/>
    <mergeCell ref="C8:L8"/>
    <mergeCell ref="M8:O8"/>
    <mergeCell ref="C9:L9"/>
    <mergeCell ref="M9:O9"/>
    <mergeCell ref="C10:O10"/>
    <mergeCell ref="C4:O4"/>
    <mergeCell ref="C5:O5"/>
    <mergeCell ref="C6:O6"/>
    <mergeCell ref="C11:O11"/>
    <mergeCell ref="B12:B14"/>
    <mergeCell ref="C12:J12"/>
    <mergeCell ref="K12:L12"/>
  </mergeCells>
  <printOptions horizontalCentered="1"/>
  <pageMargins left="0.27559055118110237" right="0.15748031496062992" top="0.23622047244094491" bottom="0.27559055118110237" header="0.19685039370078741" footer="0.23622047244094491"/>
  <pageSetup paperSize="9" scale="80" orientation="portrait" verticalDpi="300" r:id="rId1"/>
  <headerFooter>
    <oddFooter>&amp;C&amp;"Times New Roman,Italic"&amp;11www.rssrashtriya.org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How To Use</vt:lpstr>
      <vt:lpstr>Master</vt:lpstr>
      <vt:lpstr>GA55A</vt:lpstr>
      <vt:lpstr>Other Deduction</vt:lpstr>
      <vt:lpstr>Tax (Old Regime)</vt:lpstr>
      <vt:lpstr>Tax (New Regime)</vt:lpstr>
      <vt:lpstr>GA55A!Print_Area</vt:lpstr>
      <vt:lpstr>Master!Print_Area</vt:lpstr>
      <vt:lpstr>'Other Deduction'!Print_Area</vt:lpstr>
      <vt:lpstr>'Tax (New Regime)'!Print_Area</vt:lpstr>
      <vt:lpstr>'Tax (Old Regime)'!Print_Area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CP KURMI</cp:lastModifiedBy>
  <cp:lastPrinted>2021-02-28T18:06:44Z</cp:lastPrinted>
  <dcterms:created xsi:type="dcterms:W3CDTF">2013-12-06T08:14:36Z</dcterms:created>
  <dcterms:modified xsi:type="dcterms:W3CDTF">2021-02-28T18:12:56Z</dcterms:modified>
</cp:coreProperties>
</file>